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NY7qacdHIlUPpDELliz9r6ExyfaCqAq1uXLIMnHCTYJMe50JxTA2lCnuZFvCdvNCdbs+uiMBkevhWQoqbnYNYQ==" workbookSaltValue="8qAwxRRNP2Zt9kIg4eaV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T13" i="12"/>
  <c r="T13" i="16"/>
  <c r="T13" i="20"/>
  <c r="BF15" i="8"/>
  <c r="BF9" i="8"/>
  <c r="AU18" i="21"/>
  <c r="AH13" i="16"/>
  <c r="AP13" i="16"/>
  <c r="T18" i="17"/>
  <c r="BG15" i="13"/>
  <c r="BE16" i="13"/>
  <c r="BE15" i="13"/>
  <c r="AX20" i="20"/>
  <c r="AC19" i="8" l="1"/>
  <c r="AL16" i="11"/>
  <c r="C16" i="6"/>
  <c r="S19" i="8"/>
  <c r="AB13" i="21"/>
  <c r="BE9" i="13"/>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BV13" i="16" s="1"/>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BW21" i="20"/>
  <c r="BH18" i="11"/>
  <c r="BK13" i="11"/>
  <c r="Q10" i="11"/>
  <c r="X19" i="21"/>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AJ20" i="21"/>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L20" i="11"/>
  <c r="H20" i="16"/>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<sst xmlns="http://schemas.openxmlformats.org/spreadsheetml/2006/main" count="2102" uniqueCount="918">
  <si>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</si>
  <si>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</si>
  <si>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</si>
  <si>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</si>
  <si>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</si>
  <si>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</si>
  <si>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</si>
  <si>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</si>
  <si>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</si>
  <si>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</si>
  <si>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</si>
  <si>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</si>
  <si>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</si>
  <si>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</si>
  <si>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</si>
  <si>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</si>
  <si>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</si>
  <si>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</si>
  <si>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</si>
  <si>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</si>
  <si>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</si>
  <si>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</si>
  <si>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</si>
  <si>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</si>
  <si>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</si>
  <si>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</si>
  <si>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</si>
  <si>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</si>
  <si>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</si>
  <si>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</si>
  <si>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</si>
  <si>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</si>
  <si>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</si>
  <si>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</si>
  <si>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</si>
  <si>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</si>
  <si>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</si>
  <si>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</si>
  <si>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</si>
  <si>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</si>
  <si>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</si>
  <si>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</si>
  <si>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</si>
  <si>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</si>
  <si>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</si>
  <si>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</si>
  <si>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</si>
  <si>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</si>
  <si>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</si>
  <si>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</si>
  <si>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</si>
  <si>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</si>
  <si>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</si>
  <si>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</si>
  <si>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</si>
  <si>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</si>
  <si>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</si>
  <si>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</si>
  <si>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</si>
  <si>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</si>
  <si>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</si>
  <si>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</si>
  <si>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</si>
  <si>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</si>
  <si>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</si>
  <si>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</si>
  <si>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</si>
  <si>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</si>
  <si>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</si>
  <si>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</si>
  <si>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</si>
  <si>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</si>
  <si>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</si>
  <si>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</si>
  <si>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</si>
  <si>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</si>
  <si>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</si>
  <si>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</si>
  <si>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</si>
  <si>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</si>
  <si>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</si>
  <si>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</si>
  <si>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</si>
  <si>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</si>
  <si>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</si>
  <si>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</si>
  <si>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</si>
  <si>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</si>
  <si>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</si>
  <si>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</si>
  <si>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</si>
  <si>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</si>
  <si>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</si>
  <si>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</si>
  <si>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</si>
  <si>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</si>
  <si>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</si>
  <si>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</si>
  <si>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</si>
  <si>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</si>
  <si>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</si>
  <si>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</si>
  <si>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</si>
  <si>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</si>
  <si>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</si>
  <si>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</si>
  <si>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</si>
  <si>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</si>
  <si>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</si>
  <si>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</si>
  <si>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</si>
  <si>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</si>
  <si>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</si>
  <si>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</si>
  <si>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</si>
  <si>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</si>
  <si>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</si>
  <si>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</si>
  <si>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</si>
  <si>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</si>
  <si>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</si>
  <si>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</si>
  <si>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</si>
  <si>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</si>
  <si>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</si>
  <si>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</si>
  <si>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</si>
  <si>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</si>
  <si>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</si>
  <si>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</si>
  <si>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</si>
  <si>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</si>
  <si>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</si>
  <si>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</si>
  <si>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</si>
  <si>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</si>
  <si>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</si>
  <si>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</si>
  <si>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</si>
  <si>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</si>
  <si>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</si>
  <si>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</si>
  <si>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</si>
  <si>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</si>
  <si>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</si>
  <si>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</si>
  <si>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</si>
  <si>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</si>
  <si>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</si>
  <si>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</si>
  <si>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</si>
  <si>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</si>
  <si>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</si>
  <si>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</si>
  <si>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</si>
  <si>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</si>
  <si>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</si>
  <si>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</si>
  <si>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</si>
  <si>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</si>
  <si>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</si>
  <si>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</si>
  <si>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</si>
  <si>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</si>
  <si>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</si>
  <si>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</si>
  <si>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</si>
  <si>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</si>
  <si>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</si>
  <si>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</si>
  <si>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</si>
  <si>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</si>
  <si>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</si>
  <si>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</si>
  <si>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</si>
  <si>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</si>
  <si>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</si>
  <si>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</si>
  <si>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</si>
  <si>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</si>
  <si>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</si>
  <si>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</si>
  <si>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</si>
  <si>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</si>
  <si>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</si>
  <si>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</si>
  <si>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</si>
  <si>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</si>
  <si>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</si>
  <si>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</si>
  <si>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</si>
  <si>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</si>
  <si>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</si>
  <si>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</si>
  <si>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</si>
  <si>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</si>
  <si>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</si>
  <si>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</si>
  <si>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</si>
  <si>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</si>
  <si>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</si>
  <si>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</si>
  <si>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</si>
  <si>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</si>
  <si>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</si>
  <si>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</si>
  <si>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</si>
  <si>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</si>
  <si>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</si>
  <si>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</si>
  <si>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</si>
  <si>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</si>
  <si>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</si>
  <si>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</si>
  <si>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</si>
  <si>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</si>
  <si>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</si>
  <si>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</si>
  <si>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</si>
  <si>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</si>
  <si>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</si>
  <si>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</si>
  <si>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</si>
  <si>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</si>
  <si>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</si>
  <si>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</si>
  <si>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</si>
  <si>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</si>
  <si>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</si>
  <si>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</si>
  <si>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</si>
  <si>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</si>
  <si>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</si>
  <si>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</si>
  <si>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</si>
  <si>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</si>
  <si>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</si>
  <si>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</si>
  <si>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</si>
  <si>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</si>
  <si>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</si>
  <si>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</si>
  <si>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</si>
  <si>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</si>
  <si>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</si>
  <si>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</si>
  <si>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</si>
  <si>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</si>
  <si>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</si>
  <si>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</si>
  <si>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</si>
  <si>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</si>
  <si>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</si>
  <si>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</si>
  <si>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</si>
  <si>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</si>
  <si>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</si>
  <si>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</si>
  <si>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</si>
  <si>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</si>
  <si>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</si>
  <si>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</si>
  <si>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</si>
  <si>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</si>
  <si>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</si>
  <si>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</si>
  <si>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</si>
  <si>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</si>
  <si>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</si>
  <si>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</si>
  <si>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</si>
  <si>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</si>
  <si>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</si>
  <si>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</si>
  <si>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</si>
  <si>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</si>
  <si>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</si>
  <si>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</si>
  <si>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</si>
  <si>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</si>
  <si>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</si>
  <si>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</si>
  <si>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</si>
  <si>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</si>
  <si>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</si>
  <si>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</si>
  <si>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</si>
  <si>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</si>
  <si>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</si>
  <si>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</si>
  <si>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</si>
  <si>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</si>
  <si>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</si>
  <si>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</si>
  <si>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</si>
  <si>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</si>
  <si>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</si>
  <si>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</si>
  <si>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</si>
  <si>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</si>
  <si>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</si>
  <si>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</si>
  <si>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</si>
  <si>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</si>
  <si>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</si>
  <si>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</si>
  <si>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</si>
  <si>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</si>
  <si>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</si>
  <si>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</si>
  <si>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</si>
  <si>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</si>
  <si>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</si>
  <si>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</si>
  <si>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</si>
  <si>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</si>
  <si>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</si>
  <si>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</si>
  <si>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</si>
  <si>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</si>
  <si>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</si>
  <si>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</si>
  <si>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</si>
  <si>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</si>
  <si>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</si>
  <si>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</si>
  <si>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</si>
  <si>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</si>
  <si>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</si>
  <si>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</si>
  <si>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</si>
  <si>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</si>
  <si>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</si>
  <si>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</si>
  <si>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</si>
  <si>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</si>
  <si>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</si>
  <si>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</si>
  <si>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</si>
  <si>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</si>
  <si>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</si>
  <si>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</si>
  <si>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</si>
  <si>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</si>
  <si>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</si>
  <si>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</si>
  <si>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</si>
  <si>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</si>
  <si>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</si>
  <si>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</si>
  <si>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</si>
  <si>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</si>
  <si>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</si>
  <si>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</si>
  <si>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</si>
  <si>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</si>
  <si>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</si>
  <si>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</si>
  <si>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</si>
  <si>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</si>
  <si>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</si>
  <si>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</si>
  <si>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</si>
  <si>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</si>
  <si>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</si>
  <si>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</si>
  <si>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</si>
  <si>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</si>
  <si>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</si>
  <si>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</si>
  <si>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</si>
  <si>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</si>
  <si>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</si>
  <si>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</si>
  <si>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</si>
  <si>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</si>
  <si>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</si>
  <si>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</si>
  <si>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</si>
  <si>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</si>
  <si>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</si>
  <si>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</si>
  <si>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</si>
  <si>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</si>
  <si>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</si>
  <si>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</si>
  <si>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</si>
  <si>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</si>
  <si>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</si>
  <si>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</si>
  <si>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</si>
  <si>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</si>
  <si>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</si>
  <si>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</si>
  <si>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</si>
  <si>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</si>
  <si>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</si>
  <si>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</si>
  <si>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</si>
  <si>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</si>
  <si>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</si>
  <si>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</si>
  <si>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</si>
  <si>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</si>
  <si>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</si>
  <si>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</si>
  <si>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</si>
  <si>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</si>
  <si>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</si>
  <si>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</si>
  <si>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</si>
  <si>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</si>
  <si>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</si>
  <si>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</si>
  <si>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</si>
  <si>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</si>
  <si>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</si>
  <si>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</si>
  <si>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</si>
  <si>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</si>
  <si>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</si>
  <si>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</si>
  <si>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</si>
  <si>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</si>
  <si>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</si>
  <si>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</si>
  <si>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</si>
  <si>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</si>
  <si>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</si>
  <si>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</si>
  <si>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</si>
  <si>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</si>
  <si>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</si>
  <si>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</si>
  <si>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</si>
  <si>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</si>
  <si>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</si>
  <si>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</si>
  <si>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</si>
  <si>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</si>
  <si>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</si>
  <si>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</si>
  <si>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</si>
  <si>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</si>
  <si>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</si>
  <si>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</si>
  <si>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</si>
  <si>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</si>
  <si>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</si>
  <si>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</si>
  <si>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</si>
  <si>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</si>
  <si>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</si>
  <si>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</si>
  <si>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</si>
  <si>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</si>
  <si>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</si>
  <si>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</si>
  <si>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</si>
  <si>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</si>
  <si>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</si>
  <si>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</si>
  <si>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</si>
  <si>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</si>
  <si>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</si>
  <si>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</si>
  <si>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</si>
  <si>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</si>
  <si>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</si>
  <si>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</si>
  <si>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</si>
  <si>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</si>
  <si>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</si>
  <si>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</si>
  <si>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</si>
  <si>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</si>
  <si>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</si>
  <si>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</si>
  <si>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</si>
  <si>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</si>
  <si>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</si>
  <si>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</si>
  <si>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</si>
  <si>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</si>
  <si>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</si>
  <si>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</si>
  <si>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</si>
  <si>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</si>
  <si>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</si>
  <si>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</si>
  <si>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</si>
  <si>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</si>
  <si>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</si>
  <si>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</si>
  <si>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</si>
  <si>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</si>
  <si>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</si>
  <si>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</si>
  <si>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</si>
  <si>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</si>
  <si>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</si>
  <si>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</si>
  <si>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</si>
  <si>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</si>
  <si>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</si>
  <si>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</si>
  <si>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</si>
  <si>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</si>
  <si>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</si>
  <si>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</si>
  <si>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</si>
  <si>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</si>
  <si>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</si>
  <si>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</si>
  <si>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</si>
  <si>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</si>
  <si>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</si>
  <si>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</si>
  <si>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</si>
  <si>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</si>
  <si>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</si>
  <si>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</si>
  <si>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</si>
  <si>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</si>
  <si>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</si>
  <si>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</si>
  <si>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</si>
  <si>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</si>
  <si>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</si>
  <si>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</si>
  <si>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</si>
  <si>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</si>
  <si>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</si>
  <si>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</si>
  <si>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</si>
  <si>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</si>
  <si>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</si>
  <si>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</si>
  <si>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</si>
  <si>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</si>
  <si>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</si>
  <si>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</si>
  <si>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</si>
  <si>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</si>
  <si>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</si>
  <si>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</si>
  <si>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</si>
  <si>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</si>
  <si>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</si>
  <si>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</si>
  <si>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</si>
  <si>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</si>
  <si>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</si>
  <si>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</si>
  <si>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</si>
  <si>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</si>
  <si>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</si>
  <si>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</si>
  <si>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</si>
  <si>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</si>
  <si>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</si>
  <si>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</si>
  <si>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</si>
  <si>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</si>
  <si>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</si>
  <si>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</si>
  <si>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</si>
  <si>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</si>
  <si>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</si>
  <si>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</si>
  <si>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</si>
  <si>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</si>
  <si>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</si>
  <si>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</si>
  <si>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</si>
  <si>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</si>
  <si>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</si>
  <si>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</si>
  <si>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</si>
  <si>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</si>
  <si>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</si>
  <si>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</si>
  <si>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</si>
  <si>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</si>
  <si>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</si>
  <si>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</si>
  <si>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</si>
  <si>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</si>
  <si>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</si>
  <si>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</si>
  <si>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</si>
  <si>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</si>
  <si>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</si>
  <si>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</si>
  <si>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</si>
  <si>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</si>
  <si>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</si>
  <si>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</si>
  <si>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</si>
  <si>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</si>
  <si>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</si>
  <si>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</si>
  <si>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</si>
  <si>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</si>
  <si>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</si>
  <si>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</si>
  <si>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</si>
  <si>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</si>
  <si>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</si>
  <si>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</si>
  <si>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</si>
  <si>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</si>
  <si>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</si>
  <si>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</si>
  <si>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</si>
  <si>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</si>
  <si>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</si>
  <si>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</si>
  <si>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</si>
  <si>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</si>
  <si>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</si>
  <si>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</si>
  <si>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</si>
  <si>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</si>
  <si>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</si>
  <si>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</si>
  <si>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</si>
  <si>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</si>
  <si>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</si>
  <si>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</si>
  <si>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</si>
  <si>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</si>
  <si>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</si>
  <si>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</si>
  <si>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</si>
  <si>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</si>
  <si>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</si>
  <si>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</si>
  <si>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</si>
  <si>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</si>
  <si>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</si>
  <si>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</si>
  <si>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</si>
  <si>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</si>
  <si>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</si>
  <si>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</si>
  <si>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</si>
  <si>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</si>
  <si>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</si>
  <si>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</si>
  <si>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</si>
  <si>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</si>
  <si>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</si>
  <si>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</si>
  <si>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</si>
  <si>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</si>
  <si>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</si>
  <si>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</si>
  <si>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</si>
  <si>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</si>
  <si>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</si>
  <si>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</si>
  <si>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</si>
  <si>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</si>
  <si>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</si>
  <si>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</si>
  <si>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</si>
  <si>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</si>
  <si>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</si>
  <si>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</si>
  <si>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</si>
  <si>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</si>
  <si>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</si>
  <si>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</si>
  <si>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</si>
  <si>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</si>
  <si>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</si>
  <si>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</si>
  <si>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</si>
  <si>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</si>
  <si>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</si>
  <si>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</si>
  <si>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</si>
  <si>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</si>
  <si>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</si>
  <si>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</si>
  <si>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</si>
  <si>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</si>
  <si>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</si>
  <si>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</si>
  <si>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</si>
  <si>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</si>
  <si>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</si>
  <si>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</si>
  <si>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</si>
  <si>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</si>
  <si>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</si>
  <si>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</si>
  <si>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</si>
  <si>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</si>
  <si>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</si>
  <si>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</si>
  <si>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</si>
  <si>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</si>
  <si>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</si>
  <si>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</si>
  <si>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</si>
  <si>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</si>
  <si>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</si>
  <si>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</si>
  <si>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</si>
  <si>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</si>
  <si>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</si>
  <si>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</si>
  <si>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</si>
  <si>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</si>
  <si>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</si>
  <si>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</si>
  <si>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</si>
  <si>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</si>
  <si>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</si>
  <si>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</si>
  <si>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</si>
  <si>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</si>
  <si>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</si>
  <si>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</si>
  <si>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</si>
  <si>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</si>
  <si>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</si>
  <si>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</si>
  <si>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</si>
  <si>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</si>
  <si>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</si>
  <si>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</si>
  <si>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</si>
  <si>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</si>
  <si>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</si>
  <si>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</si>
  <si>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</si>
  <si>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</si>
  <si>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</si>
  <si>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</si>
  <si>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</si>
  <si>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</si>
  <si>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</si>
  <si>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</si>
  <si>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</si>
  <si>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</si>
  <si>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</si>
  <si>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</si>
  <si>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</si>
  <si>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</si>
  <si>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</si>
  <si>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</si>
  <si>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</si>
  <si>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</si>
  <si>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</si>
  <si>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</si>
  <si>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</si>
  <si>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</si>
  <si>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</si>
  <si>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</si>
  <si>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</si>
  <si>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</si>
  <si>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</si>
  <si>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</si>
  <si>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</si>
  <si>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</si>
  <si>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</si>
  <si>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</si>
  <si>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</si>
  <si>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</si>
  <si>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</si>
  <si>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</si>
  <si>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</si>
  <si>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</si>
  <si>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</si>
  <si>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</si>
  <si>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</si>
  <si>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</si>
  <si>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</si>
  <si>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</si>
  <si>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</si>
  <si>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</si>
  <si>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</si>
  <si>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</si>
  <si>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</si>
  <si>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</si>
  <si>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</si>
  <si>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</si>
  <si>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</si>
  <si>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</si>
  <si>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</si>
  <si>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</si>
  <si>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</si>
  <si>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</si>
  <si>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</si>
  <si>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</si>
  <si>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</si>
  <si>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</si>
  <si>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</si>
  <si>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</si>
  <si>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</si>
  <si>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</si>
  <si>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</si>
  <si>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</si>
  <si>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</si>
  <si>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</si>
  <si>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</si>
  <si>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</si>
  <si>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</si>
  <si>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</si>
  <si>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</si>
  <si>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</si>
  <si>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</si>
  <si>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</si>
  <si>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</si>
  <si>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</si>
  <si>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</si>
  <si>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</si>
  <si>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</si>
  <si>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</si>
  <si>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</si>
  <si>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</si>
  <si>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</si>
  <si>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</si>
  <si>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</si>
  <si>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</si>
  <si>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</si>
  <si>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</si>
  <si>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</si>
  <si>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</si>
  <si>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</si>
  <si>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</si>
  <si>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</si>
  <si>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</si>
  <si>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</si>
  <si>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</si>
  <si>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</si>
  <si>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</si>
  <si>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</si>
  <si>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</si>
  <si>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</si>
  <si>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</si>
  <si>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</si>
  <si>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</si>
  <si>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</si>
  <si>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</si>
  <si>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</si>
  <si>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</si>
  <si>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</si>
  <si>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</si>
  <si>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</si>
  <si>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</si>
  <si>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</si>
  <si>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</si>
  <si>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</si>
  <si>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</si>
  <si>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</si>
  <si>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</si>
  <si>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</si>
  <si>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</si>
  <si>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</si>
  <si>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</si>
  <si>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</si>
  <si>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</si>
  <si>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</si>
  <si>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</si>
  <si>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</si>
  <si>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</si>
  <si>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</si>
  <si>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</si>
  <si>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</si>
  <si>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</si>
  <si>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</si>
  <si>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</si>
  <si>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</si>
  <si>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</si>
  <si>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</si>
  <si>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</si>
  <si>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</si>
  <si>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</si>
  <si>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</si>
  <si>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</si>
  <si>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</si>
  <si>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</si>
  <si>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</si>
  <si>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</si>
  <si>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</si>
  <si>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</si>
  <si>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</si>
  <si>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</si>
  <si>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</si>
  <si>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</si>
  <si>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</si>
  <si>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</si>
  <si>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</si>
  <si>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</si>
  <si>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</si>
  <si>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</si>
  <si>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</si>
  <si>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</si>
  <si>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</si>
  <si>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</si>
  <si>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</si>
  <si>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</si>
  <si>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</si>
  <si>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</si>
  <si>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</si>
  <si>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</si>
  <si>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</si>
  <si>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</si>
  <si>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</si>
  <si>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</si>
  <si>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</si>
  <si>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</si>
  <si>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</si>
  <si>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LALIN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</si>
</sst>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DXcVlD8AnQjZB1Mhp72wnXuGHSQhx9n+0GAlSJHZmQ/ai8YmyO1DRrdEI8vHyfeAv3X5hv/SraCUR5fDitmbQ==" saltValue="ixHbpMAQAaJRgEEIkuW/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LALIN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7</v>
      </c>
      <c r="F10" s="404">
        <f>IF(ISNUMBER(E10/B10),E10/B10," - ")</f>
        <v>7</v>
      </c>
      <c r="G10" s="403">
        <f>IF(ISNUMBER(Datos!K10),Datos!K10," - ")</f>
        <v>7</v>
      </c>
      <c r="H10" s="404">
        <f>IF(ISNUMBER(G10/B10),G10/B10," - ")</f>
        <v>7</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707</v>
      </c>
      <c r="D12" s="404">
        <f>IF(ISNUMBER(C12/Datos!BH12),C12/Datos!BH12," - ")</f>
        <v>353.5</v>
      </c>
      <c r="E12" s="403">
        <f>IF(ISNUMBER(IF(J_V="SI",Datos!J12,Datos!J12+Datos!Z12)),IF(J_V="SI",Datos!J12,Datos!J12+Datos!Z12)," - ")</f>
        <v>2218</v>
      </c>
      <c r="F12" s="404">
        <f>IF(ISNUMBER(E12/B12),E12/B12," - ")</f>
        <v>1109</v>
      </c>
      <c r="G12" s="403">
        <f>IF(ISNUMBER(IF(J_V="SI",Datos!K12,Datos!K12+Datos!AA12)),IF(J_V="SI",Datos!K12,Datos!K12+Datos!AA12)," - ")</f>
        <v>2106</v>
      </c>
      <c r="H12" s="404">
        <f>IF(ISNUMBER(G12/B12),G12/B12," - ")</f>
        <v>1053</v>
      </c>
      <c r="I12" s="403">
        <f>IF(ISNUMBER(IF(J_V="SI",Datos!L12,Datos!L12+Datos!AB12)),IF(J_V="SI",Datos!L12,Datos!L12+Datos!AB12)," - ")</f>
        <v>818</v>
      </c>
      <c r="J12" s="404">
        <f>IF(ISNUMBER(I12/B12),I12/B12," - ")</f>
        <v>409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712</v>
      </c>
      <c r="D13" s="850" t="str">
        <f>IF(ISNUMBER(C13/Datos!BI13),C13/Datos!BI13," - ")</f>
        <v xml:space="preserve"> - </v>
      </c>
      <c r="E13" s="849">
        <f>SUBTOTAL(9,E8:E12)</f>
        <v>2225</v>
      </c>
      <c r="F13" s="850">
        <f>IF(ISNUMBER(E13/B13),E13/B13," - ")</f>
        <v>1112.5</v>
      </c>
      <c r="G13" s="849">
        <f>SUBTOTAL(9,G8:G12)</f>
        <v>2113</v>
      </c>
      <c r="H13" s="850">
        <f>IF(ISNUMBER(G13/B13),G13/B13," - ")</f>
        <v>1056.5</v>
      </c>
      <c r="I13" s="849">
        <f>SUBTOTAL(9,I8:I12)</f>
        <v>823</v>
      </c>
      <c r="J13" s="850">
        <f>IF(ISNUMBER(I13/B13),I13/B13," - ")</f>
        <v>411.5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207</v>
      </c>
      <c r="D16" s="404">
        <f>IF(ISNUMBER(C16/Datos!BH16),C16/Datos!BH16," - ")</f>
        <v>103.5</v>
      </c>
      <c r="E16" s="403">
        <f>IF(ISNUMBER(IF(D_I="SI",Datos!J16,Datos!J16+Datos!AD16)),IF(D_I="SI",Datos!J16,Datos!J16+Datos!AD16)," - ")</f>
        <v>778</v>
      </c>
      <c r="F16" s="404">
        <f>IF(ISNUMBER(E16/B16),E16/B16," - ")</f>
        <v>389</v>
      </c>
      <c r="G16" s="403">
        <f>IF(ISNUMBER(IF(D_I="SI",Datos!K16,Datos!K16+Datos!AE16)),IF(D_I="SI",Datos!K16,Datos!K16+Datos!AE16)," - ")</f>
        <v>732</v>
      </c>
      <c r="H16" s="404">
        <f>IF(ISNUMBER(G16/B16),G16/B16," - ")</f>
        <v>366</v>
      </c>
      <c r="I16" s="403">
        <f>IF(ISNUMBER(IF(D_I="SI",Datos!L16,Datos!L16+Datos!AF16)),IF(D_I="SI",Datos!L16,Datos!L16+Datos!AF16)," - ")</f>
        <v>253</v>
      </c>
      <c r="J16" s="404">
        <f>IF(ISNUMBER(I16/B16),I16/B16," - ")</f>
        <v>126.5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104</v>
      </c>
      <c r="F17" s="404">
        <f>IF(ISNUMBER(E17/B17),E17/B17," - ")</f>
        <v>104</v>
      </c>
      <c r="G17" s="403">
        <f>IF(ISNUMBER(IF(D_I="SI",Datos!K17,Datos!K17+Datos!AE17)),IF(D_I="SI",Datos!K17,Datos!K17+Datos!AE17)," - ")</f>
        <v>87</v>
      </c>
      <c r="H17" s="404">
        <f>IF(ISNUMBER(G17/B17),G17/B17," - ")</f>
        <v>87</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218</v>
      </c>
      <c r="D18" s="850" t="str">
        <f>IF(ISNUMBER(C18/Datos!BI18),C18/Datos!BI18," - ")</f>
        <v xml:space="preserve"> - </v>
      </c>
      <c r="E18" s="849">
        <f>SUBTOTAL(9,E14:E17)</f>
        <v>882</v>
      </c>
      <c r="F18" s="850">
        <f>IF(ISNUMBER(E18/B18),E18/B18," - ")</f>
        <v>441</v>
      </c>
      <c r="G18" s="849">
        <f>SUBTOTAL(9,G14:G17)</f>
        <v>819</v>
      </c>
      <c r="H18" s="850">
        <f>IF(ISNUMBER(G18/B18),G18/B18," - ")</f>
        <v>409.5</v>
      </c>
      <c r="I18" s="849">
        <f>SUBTOTAL(9,I14:I17)</f>
        <v>281</v>
      </c>
      <c r="J18" s="850">
        <f>IF(ISNUMBER(I18/B18),I18/B18," - ")</f>
        <v>140.5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930</v>
      </c>
      <c r="D19" s="795" t="str">
        <f>IF(ISNUMBER(C19/Datos!BI19),C19/Datos!BI19," - ")</f>
        <v xml:space="preserve"> - </v>
      </c>
      <c r="E19" s="794">
        <f>SUBTOTAL(9,E9:E18)</f>
        <v>3107</v>
      </c>
      <c r="F19" s="795">
        <f>IF(ISNUMBER(E19/B19),E19/B19," - ")</f>
        <v>1553.5</v>
      </c>
      <c r="G19" s="794">
        <f>SUBTOTAL(9,G9:G18)</f>
        <v>2932</v>
      </c>
      <c r="H19" s="795">
        <f>IF(ISNUMBER(G19/B19),G19/B19," - ")</f>
        <v>1466</v>
      </c>
      <c r="I19" s="794">
        <f>SUBTOTAL(9,I9:I18)</f>
        <v>1104</v>
      </c>
      <c r="J19" s="795">
        <f>IF(ISNUMBER(I19/B19),I19/B19," - ")</f>
        <v>552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9an230fQix+kenlqx0MInAq9oyX7lkRpZbn9rPsYCepKKyi8u7mL4ndv1eW2YCUOmRRfUjY3S6qKDK1MrlpQ==" saltValue="9W4ziGOCSwy++IXVoGdx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LALIN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swg3mBaXxSfGFB0bhs9kVGGYhgtQtggf8A5vXwxKokesigQ7AsWbxnLZg5FPRcfKxX6PpUx7qluu4BsBe7tYg==" saltValue="rz/nUWP2WnHl+x7YJenT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LALIN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625</v>
      </c>
      <c r="E12" s="404">
        <f t="shared" si="0"/>
        <v>312.5</v>
      </c>
      <c r="F12" s="403">
        <f>IF(ISNUMBER(Datos!N12),Datos!N12," - ")</f>
        <v>688</v>
      </c>
      <c r="G12" s="404">
        <f t="shared" si="1"/>
        <v>344</v>
      </c>
      <c r="H12" s="403">
        <f>IF(ISNUMBER(Datos!O12),Datos!O12," - ")</f>
        <v>1118</v>
      </c>
      <c r="I12" s="404">
        <f t="shared" si="2"/>
        <v>559</v>
      </c>
      <c r="BZ12" s="1186">
        <f>Datos!EZ12</f>
        <v>0</v>
      </c>
    </row>
    <row r="13" spans="1:78" ht="14.25" thickTop="1" thickBot="1">
      <c r="A13" s="848" t="str">
        <f>Datos!A13</f>
        <v>TOTAL</v>
      </c>
      <c r="B13" s="849">
        <f>Datos!AP13</f>
        <v>2</v>
      </c>
      <c r="C13" s="851">
        <f>Datos!AR13</f>
        <v>2</v>
      </c>
      <c r="D13" s="849">
        <f>SUBTOTAL(9,D9:D12)</f>
        <v>629</v>
      </c>
      <c r="E13" s="850">
        <f t="shared" si="0"/>
        <v>314.5</v>
      </c>
      <c r="F13" s="849">
        <f>SUBTOTAL(9,F9:F12)</f>
        <v>690</v>
      </c>
      <c r="G13" s="850">
        <f t="shared" si="1"/>
        <v>345</v>
      </c>
      <c r="H13" s="849">
        <f>SUBTOTAL(9,H9:H12)</f>
        <v>1118</v>
      </c>
      <c r="I13" s="850">
        <f>IF(ISNUMBER(H13/B13),H13/B13," - ")</f>
        <v>559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155</v>
      </c>
      <c r="E16" s="404">
        <f t="shared" si="3"/>
        <v>77.5</v>
      </c>
      <c r="F16" s="403">
        <f>IF(ISNUMBER(Datos!N16),Datos!N16," - ")</f>
        <v>384</v>
      </c>
      <c r="G16" s="404">
        <f t="shared" si="4"/>
        <v>192</v>
      </c>
      <c r="H16" s="403">
        <f>IF(ISNUMBER(Datos!O16),Datos!O16," - ")</f>
        <v>15</v>
      </c>
      <c r="I16" s="404">
        <f t="shared" si="5"/>
        <v>7.5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167</v>
      </c>
      <c r="E18" s="850">
        <f t="shared" si="3"/>
        <v>83.5</v>
      </c>
      <c r="F18" s="849">
        <f>SUBTOTAL(9,F15:F17)</f>
        <v>449</v>
      </c>
      <c r="G18" s="850">
        <f t="shared" si="4"/>
        <v>224.5</v>
      </c>
      <c r="H18" s="849">
        <f>SUBTOTAL(9,H15:H17)</f>
        <v>15</v>
      </c>
      <c r="I18" s="850">
        <f>IF(ISNUMBER(H18/B18),H18/B18," - ")</f>
        <v>7.5</v>
      </c>
      <c r="BZ18" s="1186"/>
    </row>
    <row r="19" spans="1:78" ht="14.25" thickTop="1" thickBot="1">
      <c r="A19" s="793" t="str">
        <f>Datos!A19</f>
        <v>TOTAL JURISDICCIONES</v>
      </c>
      <c r="B19" s="794">
        <f>Datos!AP19</f>
        <v>2</v>
      </c>
      <c r="C19" s="794">
        <f>Datos!AR19</f>
        <v>2</v>
      </c>
      <c r="D19" s="794">
        <f>SUBTOTAL(9,D8:D18)</f>
        <v>796</v>
      </c>
      <c r="E19" s="795">
        <f>IF(ISNUMBER(D19/B19),D19/B19," - ")</f>
        <v>398</v>
      </c>
      <c r="F19" s="794">
        <f>SUBTOTAL(9,F8:F18)</f>
        <v>1139</v>
      </c>
      <c r="G19" s="795">
        <f>IF(ISNUMBER(F19/B19),F19/B19," - ")</f>
        <v>569.5</v>
      </c>
      <c r="H19" s="794">
        <f>SUBTOTAL(9,H8:H18)</f>
        <v>1133</v>
      </c>
      <c r="I19" s="795">
        <f>IF(ISNUMBER(H19/B19),H19/B19," - ")</f>
        <v>566.5</v>
      </c>
    </row>
    <row r="22" spans="1:78">
      <c r="A22" s="391" t="str">
        <f>Criterios!A4</f>
        <v>Fecha Informe: 28 feb. 2025</v>
      </c>
    </row>
    <row r="27" spans="1:78">
      <c r="A27" s="414"/>
    </row>
  </sheetData>
  <sheetProtection algorithmName="SHA-512" hashValue="Ppf66fKIKp7ACg+W+TzUJl5YoCx+S0KEzgQ1YTjb7KEeV1I5riUr/zs9f9sVrFU5jRBsJABt5fwPW29g0pI3eQ==" saltValue="zVRbOHKKyfNqnuEKtkMY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LALIN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460</v>
      </c>
      <c r="C12" s="434">
        <f>IF(ISNUMBER(Datos!Q12),Datos!Q12," - ")</f>
        <v>479</v>
      </c>
      <c r="D12" s="408">
        <f>IF(ISNUMBER(Datos!R12),Datos!R12," - ")</f>
        <v>1504</v>
      </c>
    </row>
    <row r="13" spans="1:4" ht="14.25" thickTop="1" thickBot="1">
      <c r="A13" s="848" t="str">
        <f>Datos!A13</f>
        <v>TOTAL</v>
      </c>
      <c r="B13" s="849">
        <f>SUBTOTAL(9,B9:B12)</f>
        <v>460</v>
      </c>
      <c r="C13" s="853">
        <f>SUBTOTAL(9,C9:C12)</f>
        <v>479</v>
      </c>
      <c r="D13" s="851">
        <f>SUBTOTAL(9,D9:D12)</f>
        <v>1504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31</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43</v>
      </c>
      <c r="C18" s="853">
        <f>SUBTOTAL(9,C15:C17)</f>
        <v>31</v>
      </c>
      <c r="D18" s="851">
        <f>SUBTOTAL(9,D15:D17)</f>
        <v>50</v>
      </c>
    </row>
    <row r="19" spans="1:4" ht="16.5" customHeight="1" thickTop="1" thickBot="1">
      <c r="A19" s="793" t="str">
        <f>Datos!A19</f>
        <v>TOTAL JURISDICCIONES</v>
      </c>
      <c r="B19" s="798">
        <f>SUBTOTAL(9,B8:B18)</f>
        <v>503</v>
      </c>
      <c r="C19" s="799">
        <f>SUBTOTAL(9,C8:C18)</f>
        <v>510</v>
      </c>
      <c r="D19" s="800">
        <f>SUBTOTAL(9,D8:D18)</f>
        <v>1554</v>
      </c>
    </row>
    <row r="20" spans="1:4" ht="7.5" customHeight="1"/>
    <row r="21" spans="1:4" ht="6" customHeight="1"/>
    <row r="22" spans="1:4">
      <c r="A22" s="391" t="str">
        <f>Criterios!A4</f>
        <v>Fecha Informe: 28 feb. 2025</v>
      </c>
    </row>
    <row r="27" spans="1:4">
      <c r="A27" s="414"/>
    </row>
  </sheetData>
  <sheetProtection algorithmName="SHA-512" hashValue="hx5yd0RY7K10R3J3ap794VuOztNLgqbFFfB9BwHI8vQVNnF/78mkcSW5MI8welgovFNuhguS5bWQrSp7iovHMA==" saltValue="1VHPoWop/ABnYdiSE+sm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LALIN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0.75</v>
      </c>
      <c r="D10" s="456">
        <f>IF(ISNUMBER((Datos!K10-Datos!U10)/Datos!U10),(Datos!K10-Datos!U10)/Datos!U10," - ")</f>
        <v>1.3333333333333333</v>
      </c>
      <c r="E10" s="456">
        <f>IF(ISNUMBER((Datos!L10-Datos!V10)/Datos!V10),(Datos!L10-Datos!V10)/Datos!V10," - ")</f>
        <v>0</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-0.5714285714285714</v>
      </c>
      <c r="J10" s="461">
        <f>IF(ISNUMBER((('Resol  Asuntos'!D10/NºAsuntos!G10)-Datos!BF10)/Datos!BF10),(('Resol  Asuntos'!D10/NºAsuntos!G10)-Datos!BF10)/Datos!BF10," - ")</f>
        <v>-0.4285714285714286</v>
      </c>
      <c r="K10" s="462">
        <f>IF(ISNUMBER((((NºAsuntos!C10+NºAsuntos!E10)/NºAsuntos!G10)-Datos!BG10)/Datos!BG10),(((NºAsuntos!C10+NºAsuntos!E10)/NºAsuntos!G10)-Datos!BG10)/Datos!BG10," - ")</f>
        <v>-0.35714285714285715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0.1348314606741573</v>
      </c>
      <c r="C12" s="456">
        <f>IF(ISNUMBER(
   IF(J_V="SI",(Datos!J12-Datos!T12)/Datos!T12,(Datos!J12+Datos!Z12-(Datos!T12+Datos!AH12))/(Datos!T12+Datos!AH12))
     ),IF(J_V="SI",(Datos!J12-Datos!T12)/Datos!T12,(Datos!J12+Datos!Z12-(Datos!T12+Datos!AH12))/(Datos!T12+Datos!AH12))," - ")</f>
        <v>0.15520833333333334</v>
      </c>
      <c r="D12" s="456">
        <f>IF(ISNUMBER(
   IF(J_V="SI",(Datos!K12-Datos!U12)/Datos!U12,(Datos!K12+Datos!AA12-(Datos!U12+Datos!AI12))/(Datos!U12+Datos!AI12))
     ),IF(J_V="SI",(Datos!K12-Datos!U12)/Datos!U12,(Datos!K12+Datos!AA12-(Datos!U12+Datos!AI12))/(Datos!U12+Datos!AI12))," - ")</f>
        <v>0.14705882352941177</v>
      </c>
      <c r="E12" s="456">
        <f>IF(ISNUMBER(
   IF(J_V="SI",(Datos!L12-Datos!V12)/Datos!V12,(Datos!L12+Datos!AB12-(Datos!V12+Datos!AJ12))/(Datos!V12+Datos!AJ12))
     ),IF(J_V="SI",(Datos!L12-Datos!V12)/Datos!V12,(Datos!L12+Datos!AB12-(Datos!V12+Datos!AJ12))/(Datos!V12+Datos!AJ12))," - ")</f>
        <v>0.15700141442715701</v>
      </c>
      <c r="F12" s="456">
        <f>IF(ISNUMBER((Datos!M12-Datos!W12)/Datos!W12),(Datos!M12-Datos!W12)/Datos!W12," - ")</f>
        <v>0.68918918918918914</v>
      </c>
      <c r="G12" s="457">
        <f>IF(ISNUMBER((Datos!N12-Datos!X12)/Datos!X12),(Datos!N12-Datos!X12)/Datos!X12," - ")</f>
        <v>-2.2727272727272728E-2</v>
      </c>
      <c r="H12" s="455">
        <f>IF(ISNUMBER(((NºAsuntos!G12/NºAsuntos!E12)-Datos!BD12)/Datos!BD12),((NºAsuntos!G12/NºAsuntos!E12)-Datos!BD12)/Datos!BD12," - ")</f>
        <v>-7.05458017291686E-3</v>
      </c>
      <c r="I12" s="456">
        <f>IF(ISNUMBER(((NºAsuntos!I12/NºAsuntos!G12)-Datos!BE12)/Datos!BE12),((NºAsuntos!I12/NºAsuntos!G12)-Datos!BE12)/Datos!BE12," - ")</f>
        <v>8.667899757008702E-3</v>
      </c>
      <c r="J12" s="461">
        <f>IF(ISNUMBER((('Resol  Asuntos'!D12/NºAsuntos!G12)-Datos!BF12)/Datos!BF12),(('Resol  Asuntos'!D12/NºAsuntos!G12)-Datos!BF12)/Datos!BF12," - ")</f>
        <v>-0.22603438228438227</v>
      </c>
      <c r="K12" s="462">
        <f>IF(ISNUMBER((((NºAsuntos!C12+NºAsuntos!E12)/NºAsuntos!G12)-Datos!BG12)/Datos!BG12),(((NºAsuntos!C12+NºAsuntos!E12)/NºAsuntos!G12)-Datos!BG12)/Datos!BG12," - ")</f>
        <v>2.752654345261439E-3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0.13556618819776714</v>
      </c>
      <c r="C13" s="855">
        <f>IF(ISNUMBER(
   IF(J_V="SI",(Datos!J13-Datos!T13)/Datos!T13,(Datos!J13+Datos!Z13-(Datos!T13+Datos!AH13))/(Datos!T13+Datos!AH13))
     ),IF(J_V="SI",(Datos!J13-Datos!T13)/Datos!T13,(Datos!J13+Datos!Z13-(Datos!T13+Datos!AH13))/(Datos!T13+Datos!AH13))," - ")</f>
        <v>0.15644490644490644</v>
      </c>
      <c r="D13" s="855">
        <f>IF(ISNUMBER(
   IF(J_V="SI",(Datos!K13-Datos!U13)/Datos!U13,(Datos!K13+Datos!AA13-(Datos!U13+Datos!AI13))/(Datos!U13+Datos!AI13))
     ),IF(J_V="SI",(Datos!K13-Datos!U13)/Datos!U13,(Datos!K13+Datos!AA13-(Datos!U13+Datos!AI13))/(Datos!U13+Datos!AI13))," - ")</f>
        <v>0.14899401848830887</v>
      </c>
      <c r="E13" s="855">
        <f>IF(ISNUMBER(
   IF(J_V="SI",(Datos!L13-Datos!V13)/Datos!V13,(Datos!L13+Datos!AB13-(Datos!V13+Datos!AJ13))/(Datos!V13+Datos!AJ13))
     ),IF(J_V="SI",(Datos!L13-Datos!V13)/Datos!V13,(Datos!L13+Datos!AB13-(Datos!V13+Datos!AJ13))/(Datos!V13+Datos!AJ13))," - ")</f>
        <v>0.15589887640449437</v>
      </c>
      <c r="F13" s="856">
        <f>IF(ISNUMBER((Datos!M13-Datos!W13)/Datos!W13),(Datos!M13-Datos!W13)/Datos!W13," - ")</f>
        <v>0.68632707774798929</v>
      </c>
      <c r="G13" s="857">
        <f>IF(ISNUMBER((Datos!N13-Datos!X13)/Datos!X13),(Datos!N13-Datos!X13)/Datos!X13," - ")</f>
        <v>-1.9886363636363636E-2</v>
      </c>
      <c r="H13" s="857">
        <f>IF(ISNUMBER(((NºAsuntos!G13/NºAsuntos!E13)-Datos!BD13)/Datos!BD13),((NºAsuntos!G13/NºAsuntos!E13)-Datos!BD13)/Datos!BD13," - ")</f>
        <v>-6.4429251364015944E-3</v>
      </c>
      <c r="I13" s="857">
        <f>IF(ISNUMBER(((NºAsuntos!I13/NºAsuntos!G13)-Datos!BE13)/Datos!BE13),((NºAsuntos!I13/NºAsuntos!G13)-Datos!BE13)/Datos!BE13," - ")</f>
        <v>6.0094811679437992E-3</v>
      </c>
      <c r="J13" s="857">
        <f>IF(ISNUMBER((('Resol  Asuntos'!D13/NºAsuntos!G13)-Datos!BF13)/Datos!BF13),(('Resol  Asuntos'!D13/NºAsuntos!G13)-Datos!BF13)/Datos!BF13," - ")</f>
        <v>-0.22569250366994642</v>
      </c>
      <c r="K13" s="857">
        <f>IF(ISNUMBER((((NºAsuntos!C13+NºAsuntos!E13)/NºAsuntos!G13)-Datos!BG13)/Datos!BG13),(((NºAsuntos!C13+NºAsuntos!E13)/NºAsuntos!G13)-Datos!BG13)/Datos!BG13," - ")</f>
        <v>2.018454387105116E-3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0.20348837209302326</v>
      </c>
      <c r="C16" s="456">
        <f>IF(ISNUMBER(
   IF(D_I="SI",(Datos!J16-Datos!T16)/Datos!T16,(Datos!J16+Datos!AD16-(Datos!T16+Datos!AL16))/(Datos!T16+Datos!AL16))
     ),IF(D_I="SI",(Datos!J16-Datos!T16)/Datos!T16,(Datos!J16+Datos!AD16-(Datos!T16+Datos!AL16))/(Datos!T16+Datos!AL16))," - ")</f>
        <v>-0.18619246861924685</v>
      </c>
      <c r="D16" s="456">
        <f>IF(ISNUMBER(
   IF(D_I="SI",(Datos!K16-Datos!U16)/Datos!U16,(Datos!K16+Datos!AE16-(Datos!U16+Datos!AM16))/(Datos!U16+Datos!AM16))
     ),IF(D_I="SI",(Datos!K16-Datos!U16)/Datos!U16,(Datos!K16+Datos!AE16-(Datos!U16+Datos!AM16))/(Datos!U16+Datos!AM16))," - ")</f>
        <v>-0.20521172638436483</v>
      </c>
      <c r="E16" s="456">
        <f>IF(ISNUMBER(
   IF(D_I="SI",(Datos!L16-Datos!V16)/Datos!V16,(Datos!L16+Datos!AF16-(Datos!V16+Datos!AN16))/(Datos!V16+Datos!AN16))
     ),IF(D_I="SI",(Datos!L16-Datos!V16)/Datos!V16,(Datos!L16+Datos!AF16-(Datos!V16+Datos!AN16))/(Datos!V16+Datos!AN16))," - ")</f>
        <v>0.22222222222222221</v>
      </c>
      <c r="F16" s="456">
        <f>IF(ISNUMBER((Datos!M16-Datos!W16)/Datos!W16),(Datos!M16-Datos!W16)/Datos!W16," - ")</f>
        <v>2.6490066225165563E-2</v>
      </c>
      <c r="G16" s="457">
        <f>IF(ISNUMBER((Datos!N16-Datos!X16)/Datos!X16),(Datos!N16-Datos!X16)/Datos!X16," - ")</f>
        <v>-0.20987654320987653</v>
      </c>
      <c r="H16" s="455">
        <f>IF(ISNUMBER(((NºAsuntos!G16/NºAsuntos!E16)-Datos!BD16)/Datos!BD16),((NºAsuntos!G16/NºAsuntos!E16)-Datos!BD16)/Datos!BD16," - ")</f>
        <v>-2.3370707485157776E-2</v>
      </c>
      <c r="I16" s="456">
        <f>IF(ISNUMBER(((NºAsuntos!I16/NºAsuntos!G16)-Datos!BE16)/Datos!BE16),((NºAsuntos!I16/NºAsuntos!G16)-Datos!BE16)/Datos!BE16," - ")</f>
        <v>0.53779599271402556</v>
      </c>
      <c r="J16" s="461">
        <f>IF(ISNUMBER((('Resol  Asuntos'!D16/NºAsuntos!G16)-Datos!BF16)/Datos!BF16),(('Resol  Asuntos'!D16/NºAsuntos!G16)-Datos!BF16)/Datos!BF16," - ")</f>
        <v>0.29152643578330273</v>
      </c>
      <c r="K16" s="462">
        <f>IF(ISNUMBER((((NºAsuntos!C16+NºAsuntos!E16)/NºAsuntos!G16)-Datos!BG16)/Datos!BG16),(((NºAsuntos!C16+NºAsuntos!E16)/NºAsuntos!G16)-Datos!BG16)/Datos!BG16," - ")</f>
        <v>9.8691285896988626E-2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0.70491803278688525</v>
      </c>
      <c r="D17" s="456">
        <f>IF(ISNUMBER(
   IF(D_I="SI",(Datos!K17-Datos!U17)/Datos!U17,(Datos!K17+Datos!AE17-(Datos!U17+Datos!AM17))/(Datos!U17+Datos!AM17))
     ),IF(D_I="SI",(Datos!K17-Datos!U17)/Datos!U17,(Datos!K17+Datos!AE17-(Datos!U17+Datos!AM17))/(Datos!U17+Datos!AM17))," - ")</f>
        <v>0.38095238095238093</v>
      </c>
      <c r="E17" s="456">
        <f>IF(ISNUMBER(
   IF(D_I="SI",(Datos!L17-Datos!V17)/Datos!V17,(Datos!L17+Datos!AF17-(Datos!V17+Datos!AN17))/(Datos!V17+Datos!AN17))
     ),IF(D_I="SI",(Datos!L17-Datos!V17)/Datos!V17,(Datos!L17+Datos!AF17-(Datos!V17+Datos!AN17))/(Datos!V17+Datos!AN17))," - ")</f>
        <v>1.5454545454545454</v>
      </c>
      <c r="F17" s="456">
        <f>IF(ISNUMBER((Datos!M17-Datos!W17)/Datos!W17),(Datos!M17-Datos!W17)/Datos!W17," - ")</f>
        <v>-7.6923076923076927E-2</v>
      </c>
      <c r="G17" s="457">
        <f>IF(ISNUMBER((Datos!N17-Datos!X17)/Datos!X17),(Datos!N17-Datos!X17)/Datos!X17," - ")</f>
        <v>3.1746031746031744E-2</v>
      </c>
      <c r="H17" s="455">
        <f>IF(ISNUMBER(((NºAsuntos!G17/NºAsuntos!E17)-Datos!BD17)/Datos!BD17),((NºAsuntos!G17/NºAsuntos!E17)-Datos!BD17)/Datos!BD17," - ")</f>
        <v>-0.19001831501831501</v>
      </c>
      <c r="I17" s="456">
        <f>IF(ISNUMBER(((NºAsuntos!I17/NºAsuntos!G17)-Datos!BE17)/Datos!BE17),((NºAsuntos!I17/NºAsuntos!G17)-Datos!BE17)/Datos!BE17," - ")</f>
        <v>0.84326018808777436</v>
      </c>
      <c r="J17" s="461">
        <f>IF(ISNUMBER((('Resol  Asuntos'!D17/NºAsuntos!G17)-Datos!BF17)/Datos!BF17),(('Resol  Asuntos'!D17/NºAsuntos!G17)-Datos!BF17)/Datos!BF17," - ")</f>
        <v>-0.33156498673740048</v>
      </c>
      <c r="K17" s="462">
        <f>IF(ISNUMBER((((NºAsuntos!C17+NºAsuntos!E17)/NºAsuntos!G17)-Datos!BG17)/Datos!BG17),(((NºAsuntos!C17+NºAsuntos!E17)/NºAsuntos!G17)-Datos!BG17)/Datos!BG17," - ")</f>
        <v>0.12534948741845295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0.17837837837837839</v>
      </c>
      <c r="C18" s="855">
        <f>IF(ISNUMBER(
   IF(Criterios!B14="SI",(Datos!J18-Datos!T18)/Datos!T18,(Datos!J18+Datos!AD18-(Datos!T18+Datos!AL18))/(Datos!T18+Datos!AL18))
     ),IF(Criterios!B14="SI",(Datos!J18-Datos!T18)/Datos!T18,(Datos!J18+Datos!AD18-(Datos!T18+Datos!AL18))/(Datos!T18+Datos!AL18))," - ")</f>
        <v>-0.13274336283185842</v>
      </c>
      <c r="D18" s="855">
        <f>IF(ISNUMBER(
   IF(Criterios!B14="SI",(Datos!K18-Datos!U18)/Datos!U18,(Datos!K18+Datos!AE18-(Datos!U18+Datos!AM18))/(Datos!U18+Datos!AM18))
     ),IF(Criterios!B14="SI",(Datos!K18-Datos!U18)/Datos!U18,(Datos!K18+Datos!AE18-(Datos!U18+Datos!AM18))/(Datos!U18+Datos!AM18))," - ")</f>
        <v>-0.1676829268292683</v>
      </c>
      <c r="E18" s="855">
        <f>IF(ISNUMBER(
   IF(Criterios!B14="SI",(Datos!L18-Datos!V18)/Datos!V18,(Datos!L18+Datos!AF18-(Datos!V18+Datos!AN18))/(Datos!V18+Datos!AN18))
     ),IF(Criterios!B14="SI",(Datos!L18-Datos!V18)/Datos!V18,(Datos!L18+Datos!AF18-(Datos!V18+Datos!AN18))/(Datos!V18+Datos!AN18))," - ")</f>
        <v>0.28899082568807338</v>
      </c>
      <c r="F18" s="856">
        <f>IF(ISNUMBER((Datos!M18-Datos!W18)/Datos!W18),(Datos!M18-Datos!W18)/Datos!W18," - ")</f>
        <v>1.8292682926829267E-2</v>
      </c>
      <c r="G18" s="857">
        <f>IF(ISNUMBER((Datos!N18-Datos!X18)/Datos!X18),(Datos!N18-Datos!X18)/Datos!X18," - ")</f>
        <v>-0.18214936247723132</v>
      </c>
      <c r="H18" s="857">
        <f>IF(ISNUMBER(((NºAsuntos!G18/NºAsuntos!E18)-Datos!BD18)/Datos!BD18),((NºAsuntos!G18/NºAsuntos!E18)-Datos!BD18)/Datos!BD18," - ")</f>
        <v>-4.0287456445992985E-2</v>
      </c>
      <c r="I18" s="857">
        <f>IF(ISNUMBER(((NºAsuntos!I18/NºAsuntos!G18)-Datos!BE18)/Datos!BE18),((NºAsuntos!I18/NºAsuntos!G18)-Datos!BE18)/Datos!BE18," - ")</f>
        <v>0.54867762207211745</v>
      </c>
      <c r="J18" s="857">
        <f>IF(ISNUMBER((('Resol  Asuntos'!D18/NºAsuntos!G18)-Datos!BF18)/Datos!BF18),(('Resol  Asuntos'!D18/NºAsuntos!G18)-Datos!BF18)/Datos!BF18," - ")</f>
        <v>0.22344322344322348</v>
      </c>
      <c r="K18" s="857">
        <f>IF(ISNUMBER((((NºAsuntos!C18+NºAsuntos!E18)/NºAsuntos!G18)-Datos!BG18)/Datos!BG18),(((NºAsuntos!C18+NºAsuntos!E18)/NºAsuntos!G18)-Datos!BG18)/Datos!BG18," - ")</f>
        <v>9.9510583703595348E-2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0.14532019704433496</v>
      </c>
      <c r="C19" s="802">
        <f>IF(ISNUMBER(
   IF(J_V="SI",(Datos!J19-Datos!T19)/Datos!T19,(Datos!J19+Datos!Z19-(Datos!T19+Datos!AH19))/(Datos!T19+Datos!AH19))
     ),IF(J_V="SI",(Datos!J19-Datos!T19)/Datos!T19,(Datos!J19+Datos!Z19-(Datos!T19+Datos!AH19))/(Datos!T19+Datos!AH19))," - ")</f>
        <v>5.6443386603196193E-2</v>
      </c>
      <c r="D19" s="802">
        <f>IF(ISNUMBER(
   IF(J_V="SI",(Datos!K19-Datos!U19)/Datos!U19,(Datos!K19+Datos!AA19-(Datos!U19+Datos!AI19))/(Datos!U19+Datos!AI19))
     ),IF(J_V="SI",(Datos!K19-Datos!U19)/Datos!U19,(Datos!K19+Datos!AA19-(Datos!U19+Datos!AI19))/(Datos!U19+Datos!AI19))," - ")</f>
        <v>3.8611406305348921E-2</v>
      </c>
      <c r="E19" s="802">
        <f>IF(ISNUMBER(
   IF(J_V="SI",(Datos!L19-Datos!V19)/Datos!V19,(Datos!L19+Datos!AB19-(Datos!V19+Datos!AJ19))/(Datos!V19+Datos!AJ19))
     ),IF(J_V="SI",(Datos!L19-Datos!V19)/Datos!V19,(Datos!L19+Datos!AB19-(Datos!V19+Datos!AJ19))/(Datos!V19+Datos!AJ19))," - ")</f>
        <v>0.18709677419354839</v>
      </c>
      <c r="F19" s="803">
        <f>IF(ISNUMBER((Datos!M19-Datos!W19)/Datos!W19),(Datos!M19-Datos!W19)/Datos!W19," - ")</f>
        <v>0.48230912476722532</v>
      </c>
      <c r="G19" s="804">
        <f>IF(ISNUMBER((Datos!N19-Datos!X19)/Datos!X19),(Datos!N19-Datos!X19)/Datos!X19," - ")</f>
        <v>-9.0981644054269756E-2</v>
      </c>
      <c r="H19" s="805">
        <f>IF(ISNUMBER((Tasas!B19-Datos!BD19)/Datos!BD19),(Tasas!B19-Datos!BD19)/Datos!BD19," - ")</f>
        <v>-1.6879257822970378E-2</v>
      </c>
      <c r="I19" s="806">
        <f>IF(ISNUMBER((Tasas!C19-Datos!BE19)/Datos!BE19),(Tasas!C19-Datos!BE19)/Datos!BE19," - ")</f>
        <v>0.14296527747216484</v>
      </c>
      <c r="J19" s="807">
        <f>IF(ISNUMBER((Tasas!D19-Datos!BF19)/Datos!BF19),(Tasas!D19-Datos!BF19)/Datos!BF19," - ")</f>
        <v>-0.12008276384892612</v>
      </c>
      <c r="K19" s="807">
        <f>IF(ISNUMBER((Tasas!E19-Datos!BG19)/Datos!BG19),(Tasas!E19-Datos!BG19)/Datos!BG19," - ")</f>
        <v>3.5683595006668629E-2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pQpQ33LbYPnOSOFT/4a+XdEZppuyCtUwcb6AHpzE/Ur7jaQwvmznleYRTXpcLgWqCy9RyHSXQ8aTixoCbL3vw==" saltValue="jd86zj11ygPxJm5lb1Z06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LALIN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0.7142857142857143</v>
      </c>
      <c r="D10" s="444">
        <f>IF(ISNUMBER('Resol  Asuntos'!D10/NºAsuntos!G10),'Resol  Asuntos'!D10/NºAsuntos!G10," - ")</f>
        <v>0.5714285714285714</v>
      </c>
      <c r="E10" s="445">
        <f>IF(ISNUMBER((NºAsuntos!C10+NºAsuntos!E10)/NºAsuntos!G10),(NºAsuntos!C10+NºAsuntos!E10)/NºAsuntos!G10," - ")</f>
        <v>1.7142857142857142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0.9495040577096483</v>
      </c>
      <c r="C12" s="443">
        <f>IF(ISNUMBER(NºAsuntos!I12/NºAsuntos!G12),NºAsuntos!I12/NºAsuntos!G12," - ")</f>
        <v>0.38841405508072174</v>
      </c>
      <c r="D12" s="444">
        <f>IF(ISNUMBER('Resol  Asuntos'!D12/NºAsuntos!G12),'Resol  Asuntos'!D12/NºAsuntos!G12," - ")</f>
        <v>0.29677113010446343</v>
      </c>
      <c r="E12" s="445">
        <f>IF(ISNUMBER((NºAsuntos!C12+NºAsuntos!E12)/NºAsuntos!G12),(NºAsuntos!C12+NºAsuntos!E12)/NºAsuntos!G12," - ")</f>
        <v>1.3888888888888888</v>
      </c>
      <c r="G12" s="463"/>
    </row>
    <row r="13" spans="1:7" ht="14.25" thickTop="1" thickBot="1">
      <c r="A13" s="848" t="str">
        <f>Datos!A13</f>
        <v>TOTAL</v>
      </c>
      <c r="B13" s="858">
        <f>IF(ISNUMBER(NºAsuntos!G13/NºAsuntos!E13),NºAsuntos!G13/NºAsuntos!E13," - ")</f>
        <v>0.94966292134831465</v>
      </c>
      <c r="C13" s="859">
        <f>IF(ISNUMBER(NºAsuntos!I13/NºAsuntos!G13),NºAsuntos!I13/NºAsuntos!G13," - ")</f>
        <v>0.3894936109796498</v>
      </c>
      <c r="D13" s="860">
        <f>IF(ISNUMBER('Resol  Asuntos'!D13/NºAsuntos!G13),'Resol  Asuntos'!D13/NºAsuntos!G13," - ")</f>
        <v>0.29768102224325604</v>
      </c>
      <c r="E13" s="861">
        <f>IF(ISNUMBER((NºAsuntos!C13+NºAsuntos!E13)/NºAsuntos!G13),(NºAsuntos!C13+NºAsuntos!E13)/NºAsuntos!G13," - ")</f>
        <v>1.3899668717463323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0.94087403598971719</v>
      </c>
      <c r="C16" s="443">
        <f>IF(ISNUMBER(NºAsuntos!I16/NºAsuntos!G16),NºAsuntos!I16/NºAsuntos!G16," - ")</f>
        <v>0.34562841530054644</v>
      </c>
      <c r="D16" s="444">
        <f>IF(ISNUMBER('Resol  Asuntos'!D16/NºAsuntos!G16),'Resol  Asuntos'!D16/NºAsuntos!G16," - ")</f>
        <v>0.21174863387978143</v>
      </c>
      <c r="E16" s="445">
        <f>IF(ISNUMBER((NºAsuntos!C16+NºAsuntos!E16)/NºAsuntos!G16),(NºAsuntos!C16+NºAsuntos!E16)/NºAsuntos!G16," - ")</f>
        <v>1.3456284153005464</v>
      </c>
      <c r="G16" s="463"/>
    </row>
    <row r="17" spans="1:7" ht="13.5" thickBot="1">
      <c r="A17" s="402" t="str">
        <f>Datos!A17</f>
        <v>Jdos. Violencia contra la mujer</v>
      </c>
      <c r="B17" s="442">
        <f>IF(ISNUMBER(NºAsuntos!G17/NºAsuntos!E17),NºAsuntos!G17/NºAsuntos!E17," - ")</f>
        <v>0.83653846153846156</v>
      </c>
      <c r="C17" s="443">
        <f>IF(ISNUMBER(NºAsuntos!I17/NºAsuntos!G17),NºAsuntos!I17/NºAsuntos!G17," - ")</f>
        <v>0.32183908045977011</v>
      </c>
      <c r="D17" s="444">
        <f>IF(ISNUMBER('Resol  Asuntos'!D17/NºAsuntos!G17),'Resol  Asuntos'!D17/NºAsuntos!G17," - ")</f>
        <v>0.13793103448275862</v>
      </c>
      <c r="E17" s="445">
        <f>IF(ISNUMBER((NºAsuntos!C17+NºAsuntos!E17)/NºAsuntos!G17),(NºAsuntos!C17+NºAsuntos!E17)/NºAsuntos!G17," - ")</f>
        <v>1.3218390804597702</v>
      </c>
      <c r="G17" s="463"/>
    </row>
    <row r="18" spans="1:7" ht="14.25" thickTop="1" thickBot="1">
      <c r="A18" s="848" t="str">
        <f>Datos!A18</f>
        <v>TOTAL</v>
      </c>
      <c r="B18" s="858">
        <f>IF(ISNUMBER(NºAsuntos!G18/NºAsuntos!E18),NºAsuntos!G18/NºAsuntos!E18," - ")</f>
        <v>0.9285714285714286</v>
      </c>
      <c r="C18" s="859">
        <f>IF(ISNUMBER(NºAsuntos!I18/NºAsuntos!G18),NºAsuntos!I18/NºAsuntos!G18," - ")</f>
        <v>0.3431013431013431</v>
      </c>
      <c r="D18" s="862">
        <f>IF(ISNUMBER('Resol  Asuntos'!D18/NºAsuntos!G18),'Resol  Asuntos'!D18/NºAsuntos!G18," - ")</f>
        <v>0.2039072039072039</v>
      </c>
      <c r="E18" s="861">
        <f>IF(ISNUMBER((NºAsuntos!C18+NºAsuntos!E18)/NºAsuntos!G18),(NºAsuntos!C18+NºAsuntos!E18)/NºAsuntos!G18," - ")</f>
        <v>1.343101343101343</v>
      </c>
      <c r="G18" s="463"/>
    </row>
    <row r="19" spans="1:7" ht="15.75" customHeight="1" thickTop="1" thickBot="1">
      <c r="A19" s="793" t="str">
        <f>Datos!A19</f>
        <v>TOTAL JURISDICCIONES</v>
      </c>
      <c r="B19" s="808">
        <f>IF(ISNUMBER(NºAsuntos!G19/NºAsuntos!E19),NºAsuntos!G19/NºAsuntos!E19," - ")</f>
        <v>0.94367557129063406</v>
      </c>
      <c r="C19" s="809">
        <f>IF(ISNUMBER(NºAsuntos!I19/NºAsuntos!G19),NºAsuntos!I19/NºAsuntos!G19," - ")</f>
        <v>0.37653478854024558</v>
      </c>
      <c r="D19" s="810">
        <f>IF(ISNUMBER('Resol  Asuntos'!D19/NºAsuntos!G19),'Resol  Asuntos'!D19/NºAsuntos!G19," - ")</f>
        <v>0.27148703956343795</v>
      </c>
      <c r="E19" s="811">
        <f>IF(ISNUMBER((NºAsuntos!C19+NºAsuntos!E19)/NºAsuntos!G19),(NºAsuntos!C19+NºAsuntos!E19)/NºAsuntos!G19," - ")</f>
        <v>1.3768758526603002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kEj8+eu5OTIn0njdXfa/ANB/x+Oz7xravNzyCnbAMdk1kJVB3FPbVpojd8h4h+klO7vCUjsNTTdSePqNPGfWQ==" saltValue="Tg/K+BnQ3QSCdIplXnvv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LALIN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7.8571428571428577</v>
      </c>
      <c r="AN10" s="244">
        <f>IF(ISNUMBER('Resol  Asuntos'!D10/NºAsuntos!G10),'Resol  Asuntos'!D10/NºAsuntos!G10," - ")</f>
        <v>0.5714285714285714</v>
      </c>
      <c r="AO10" s="245">
        <f>IF(ISNUMBER((NºAsuntos!C10+NºAsuntos!E10)/NºAsuntos!G10),(NºAsuntos!C10+NºAsuntos!E10)/NºAsuntos!G10," - ")</f>
        <v>1.7142857142857142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479</v>
      </c>
      <c r="Y12" s="334">
        <f t="shared" si="0"/>
        <v>479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625</v>
      </c>
      <c r="AJ12" s="229" t="str">
        <f>IF(ISNUMBER(Datos!BW12),Datos!BW12," - ")</f>
        <v xml:space="preserve"> - </v>
      </c>
      <c r="AK12" s="228" t="str">
        <f>IF(ISNUMBER(Datos!BX12),Datos!BX12," - ")</f>
        <v xml:space="preserve"> - </v>
      </c>
      <c r="AL12" s="243">
        <f>IF(ISNUMBER(NºAsuntos!G12/NºAsuntos!E12),NºAsuntos!G12/NºAsuntos!E12," - ")</f>
        <v>0.9495040577096483</v>
      </c>
      <c r="AM12" s="260">
        <f>IF(ISNUMBER(((NºAsuntos!I12/NºAsuntos!G12)*11)/factor_trimestre),((NºAsuntos!I12/NºAsuntos!G12)*11)/factor_trimestre," - ")</f>
        <v>4.2725546058879393</v>
      </c>
      <c r="AN12" s="244">
        <f>IF(ISNUMBER('Resol  Asuntos'!D12/NºAsuntos!G12),'Resol  Asuntos'!D12/NºAsuntos!G12," - ")</f>
        <v>0.29677113010446343</v>
      </c>
      <c r="AO12" s="245">
        <f>IF(ISNUMBER((NºAsuntos!C12+NºAsuntos!E12)/NºAsuntos!G12),(NºAsuntos!C12+NºAsuntos!E12)/NºAsuntos!G12," - ")</f>
        <v>1.3888888888888888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460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479</v>
      </c>
      <c r="Y13" s="868">
        <f t="shared" si="4"/>
        <v>486</v>
      </c>
      <c r="Z13" s="868">
        <f t="shared" si="4"/>
        <v>0</v>
      </c>
      <c r="AA13" s="868">
        <f t="shared" si="4"/>
        <v>5</v>
      </c>
      <c r="AB13" s="868">
        <f t="shared" si="4"/>
        <v>1504</v>
      </c>
      <c r="AC13" s="868">
        <f t="shared" si="4"/>
        <v>5</v>
      </c>
      <c r="AD13" s="868">
        <f t="shared" si="4"/>
        <v>0</v>
      </c>
      <c r="AE13" s="872">
        <f t="shared" si="4"/>
        <v>0</v>
      </c>
      <c r="AF13" s="865">
        <f t="shared" si="4"/>
        <v>0</v>
      </c>
      <c r="AG13" s="873">
        <f t="shared" si="4"/>
        <v>0</v>
      </c>
      <c r="AH13" s="870">
        <f t="shared" si="4"/>
        <v>0</v>
      </c>
      <c r="AI13" s="865">
        <f t="shared" si="4"/>
        <v>629</v>
      </c>
      <c r="AJ13" s="867">
        <f t="shared" si="4"/>
        <v>0</v>
      </c>
      <c r="AK13" s="870">
        <f>SUBTOTAL(9,AK9:AK12)</f>
        <v>0</v>
      </c>
      <c r="AL13" s="874">
        <f>IF(ISNUMBER(NºAsuntos!G13/NºAsuntos!E13),NºAsuntos!G13/NºAsuntos!E13," - ")</f>
        <v>0.94966292134831465</v>
      </c>
      <c r="AM13" s="874">
        <f>IF(ISNUMBER(((NºAsuntos!I13/NºAsuntos!G13)*11)/factor_trimestre),((NºAsuntos!I13/NºAsuntos!G13)*11)/factor_trimestre," - ")</f>
        <v>4.2844297207761475</v>
      </c>
      <c r="AN13" s="875">
        <f>IF(ISNUMBER('Resol  Asuntos'!D13/NºAsuntos!G13),'Resol  Asuntos'!D13/NºAsuntos!G13," - ")</f>
        <v>0.29768102224325604</v>
      </c>
      <c r="AO13" s="876">
        <f>IF(ISNUMBER((NºAsuntos!C13+NºAsuntos!E13)/NºAsuntos!G13),(NºAsuntos!C13+NºAsuntos!E13)/NºAsuntos!G13," - ")</f>
        <v>1.3899668717463323</v>
      </c>
      <c r="AP13" s="877" t="str">
        <f t="shared" si="2"/>
        <v xml:space="preserve"> - </v>
      </c>
      <c r="AQ13" s="877">
        <f>IF(ISNUMBER((H13-W13+K13)/(F13)),(H13-W13+K13)/(F13)," - ")</f>
        <v>-1.4</v>
      </c>
      <c r="AR13" s="878">
        <f>IF(ISNUMBER((Datos!P13-Datos!Q13)/(Datos!R13-Datos!P13+Datos!Q13)),(Datos!P13-Datos!Q13)/(Datos!R13-Datos!P13+Datos!Q13)," - ")</f>
        <v>-1.247537754432042E-2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207</v>
      </c>
      <c r="G16" s="333">
        <f>IF(ISNUMBER(IF(D_I="SI",Datos!I16,Datos!I16+Datos!AC16)),IF(D_I="SI",Datos!I16,Datos!I16+Datos!AC16)," - ")</f>
        <v>207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732</v>
      </c>
      <c r="X16" s="226">
        <f>IF(ISNUMBER(Datos!Q16),Datos!Q16," - ")</f>
        <v>31</v>
      </c>
      <c r="Y16" s="334">
        <f t="shared" ref="Y16:Y17" si="7">SUM(W16:X16)</f>
        <v>763</v>
      </c>
      <c r="Z16" s="335" t="str">
        <f>IF(ISNUMBER(Datos!CC16),Datos!CC16," - ")</f>
        <v xml:space="preserve"> - </v>
      </c>
      <c r="AA16" s="332">
        <f>IF(ISNUMBER(IF(D_I="SI",Datos!L16,Datos!L16+Datos!AF16)),IF(D_I="SI",Datos!L16,Datos!L16+Datos!AF16)," - ")</f>
        <v>253</v>
      </c>
      <c r="AB16" s="334">
        <f>IF(ISNUMBER(Datos!R16),Datos!R16," - ")</f>
        <v>49</v>
      </c>
      <c r="AC16" s="334">
        <f t="shared" si="6"/>
        <v>302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155</v>
      </c>
      <c r="AJ16" s="231" t="str">
        <f>IF(ISNUMBER(Datos!BW16),Datos!BW16," - ")</f>
        <v xml:space="preserve"> - </v>
      </c>
      <c r="AK16" s="232" t="str">
        <f>IF(ISNUMBER(Datos!BX16),Datos!BX16," - ")</f>
        <v xml:space="preserve"> - </v>
      </c>
      <c r="AL16" s="243">
        <f>IF(ISNUMBER(NºAsuntos!G16/NºAsuntos!E16),NºAsuntos!G16/NºAsuntos!E16," - ")</f>
        <v>0.94087403598971719</v>
      </c>
      <c r="AM16" s="260">
        <f>IF(ISNUMBER(((NºAsuntos!I16/NºAsuntos!G16)*11)/factor_trimestre),((NºAsuntos!I16/NºAsuntos!G16)*11)/factor_trimestre," - ")</f>
        <v>3.8019125683060109</v>
      </c>
      <c r="AN16" s="244">
        <f>IF(ISNUMBER('Resol  Asuntos'!D16/NºAsuntos!G16),'Resol  Asuntos'!D16/NºAsuntos!G16," - ")</f>
        <v>0.21174863387978143</v>
      </c>
      <c r="AO16" s="245">
        <f>IF(ISNUMBER((NºAsuntos!C16+NºAsuntos!E16)/NºAsuntos!G16),(NºAsuntos!C16+NºAsuntos!E16)/NºAsuntos!G16," - ")</f>
        <v>1.3456284153005464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87</v>
      </c>
      <c r="X17" s="226">
        <f>IF(ISNUMBER(Datos!Q17),Datos!Q17," - ")</f>
        <v>0</v>
      </c>
      <c r="Y17" s="334">
        <f t="shared" si="7"/>
        <v>87</v>
      </c>
      <c r="Z17" s="335" t="str">
        <f>IF(ISNUMBER(Datos!CC17),Datos!CC17," - ")</f>
        <v xml:space="preserve"> - </v>
      </c>
      <c r="AA17" s="332">
        <f>IF(ISNUMBER(Datos!L17),Datos!L17,"-")</f>
        <v>28</v>
      </c>
      <c r="AB17" s="334">
        <f>IF(ISNUMBER(Datos!R17),Datos!R17," - ")</f>
        <v>1</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0.83653846153846156</v>
      </c>
      <c r="AM17" s="260">
        <f>IF(ISNUMBER(((NºAsuntos!I17/NºAsuntos!G17)*11)/factor_trimestre),((NºAsuntos!I17/NºAsuntos!G17)*11)/factor_trimestre," - ")</f>
        <v>3.5402298850574714</v>
      </c>
      <c r="AN17" s="244">
        <f>IF(ISNUMBER('Resol  Asuntos'!D17/NºAsuntos!G17),'Resol  Asuntos'!D17/NºAsuntos!G17," - ")</f>
        <v>0.13793103448275862</v>
      </c>
      <c r="AO17" s="245">
        <f>IF(ISNUMBER((NºAsuntos!C17+NºAsuntos!E17)/NºAsuntos!G17),(NºAsuntos!C17+NºAsuntos!E17)/NºAsuntos!G17," - ")</f>
        <v>1.3218390804597702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207</v>
      </c>
      <c r="G18" s="866">
        <f>SUBTOTAL(9,G15:G17)</f>
        <v>218</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819</v>
      </c>
      <c r="X18" s="867">
        <f t="shared" si="11"/>
        <v>31</v>
      </c>
      <c r="Y18" s="868">
        <f t="shared" si="11"/>
        <v>850</v>
      </c>
      <c r="Z18" s="868">
        <f t="shared" si="11"/>
        <v>0</v>
      </c>
      <c r="AA18" s="868">
        <f t="shared" si="11"/>
        <v>281</v>
      </c>
      <c r="AB18" s="868">
        <f t="shared" si="11"/>
        <v>50</v>
      </c>
      <c r="AC18" s="868">
        <f t="shared" si="11"/>
        <v>331</v>
      </c>
      <c r="AD18" s="868">
        <f t="shared" si="11"/>
        <v>0</v>
      </c>
      <c r="AE18" s="872">
        <f t="shared" si="11"/>
        <v>0</v>
      </c>
      <c r="AF18" s="865">
        <f t="shared" si="11"/>
        <v>0</v>
      </c>
      <c r="AG18" s="873">
        <f t="shared" si="11"/>
        <v>0</v>
      </c>
      <c r="AH18" s="870">
        <f t="shared" si="11"/>
        <v>0</v>
      </c>
      <c r="AI18" s="865">
        <f t="shared" si="11"/>
        <v>167</v>
      </c>
      <c r="AJ18" s="867">
        <f t="shared" si="11"/>
        <v>0</v>
      </c>
      <c r="AK18" s="870">
        <f t="shared" si="11"/>
        <v>0</v>
      </c>
      <c r="AL18" s="874">
        <f>IF(ISNUMBER(NºAsuntos!G18/NºAsuntos!E18),NºAsuntos!G18/NºAsuntos!E18," - ")</f>
        <v>0.9285714285714286</v>
      </c>
      <c r="AM18" s="874">
        <f>IF(ISNUMBER(((NºAsuntos!I18/NºAsuntos!G18)*11)/factor_trimestre),((NºAsuntos!I18/NºAsuntos!G18)*11)/factor_trimestre," - ")</f>
        <v>3.774114774114774</v>
      </c>
      <c r="AN18" s="875">
        <f>IF(ISNUMBER('Resol  Asuntos'!D18/NºAsuntos!G18),'Resol  Asuntos'!D18/NºAsuntos!G18," - ")</f>
        <v>0.2039072039072039</v>
      </c>
      <c r="AO18" s="876">
        <f>IF(ISNUMBER((NºAsuntos!C18+NºAsuntos!E18)/NºAsuntos!G18),(NºAsuntos!C18+NºAsuntos!E18)/NºAsuntos!G18," - ")</f>
        <v>1.343101343101343</v>
      </c>
      <c r="AP18" s="877" t="str">
        <f t="shared" si="2"/>
        <v xml:space="preserve"> - </v>
      </c>
      <c r="AQ18" s="877">
        <f>IF(ISNUMBER((H18-W18+K18)/(F18)),(H18-W18+K18)/(F18)," - ")</f>
        <v>-3.9565217391304346</v>
      </c>
      <c r="AR18" s="878">
        <f>IF(ISNUMBER((Datos!P18-Datos!Q18)/(Datos!R18-Datos!P18+Datos!Q18)),(Datos!P18-Datos!Q18)/(Datos!R18-Datos!P18+Datos!Q18)," - ")</f>
        <v>0.31578947368421051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212</v>
      </c>
      <c r="G19" s="821">
        <f t="shared" si="13"/>
        <v>223</v>
      </c>
      <c r="H19" s="820">
        <f t="shared" si="13"/>
        <v>0</v>
      </c>
      <c r="I19" s="822">
        <f t="shared" si="13"/>
        <v>0</v>
      </c>
      <c r="J19" s="822">
        <f t="shared" si="13"/>
        <v>0</v>
      </c>
      <c r="K19" s="881">
        <f t="shared" si="13"/>
        <v>0</v>
      </c>
      <c r="L19" s="822">
        <f t="shared" si="13"/>
        <v>503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826</v>
      </c>
      <c r="X19" s="821">
        <f t="shared" si="14"/>
        <v>510</v>
      </c>
      <c r="Y19" s="828">
        <f t="shared" si="14"/>
        <v>1336</v>
      </c>
      <c r="Z19" s="828">
        <f t="shared" si="14"/>
        <v>0</v>
      </c>
      <c r="AA19" s="828">
        <f t="shared" si="14"/>
        <v>286</v>
      </c>
      <c r="AB19" s="828">
        <f t="shared" si="14"/>
        <v>1554</v>
      </c>
      <c r="AC19" s="828">
        <f t="shared" si="14"/>
        <v>336</v>
      </c>
      <c r="AD19" s="828">
        <f t="shared" si="14"/>
        <v>0</v>
      </c>
      <c r="AE19" s="830">
        <f t="shared" si="14"/>
        <v>0</v>
      </c>
      <c r="AF19" s="831">
        <f t="shared" si="14"/>
        <v>0</v>
      </c>
      <c r="AG19" s="832">
        <f t="shared" si="14"/>
        <v>0</v>
      </c>
      <c r="AH19" s="830">
        <f t="shared" si="14"/>
        <v>0</v>
      </c>
      <c r="AI19" s="820">
        <f t="shared" si="14"/>
        <v>796</v>
      </c>
      <c r="AJ19" s="820">
        <f t="shared" si="14"/>
        <v>0</v>
      </c>
      <c r="AK19" s="830">
        <f t="shared" si="14"/>
        <v>0</v>
      </c>
      <c r="AL19" s="884">
        <f>IF(ISNUMBER(NºAsuntos!G19/NºAsuntos!E19),NºAsuntos!G19/NºAsuntos!E19," - ")</f>
        <v>0.94367557129063406</v>
      </c>
      <c r="AM19" s="885">
        <f>IF(ISNUMBER(((NºAsuntos!I19/NºAsuntos!G19)*11)/factor_trimestre),((NºAsuntos!I19/NºAsuntos!G19)*11)/factor_trimestre," - ")</f>
        <v>4.1418826739427015</v>
      </c>
      <c r="AN19" s="885">
        <f>IF(ISNUMBER('Resol  Asuntos'!D19/NºAsuntos!G19),'Resol  Asuntos'!D19/NºAsuntos!G19," - ")</f>
        <v>0.27148703956343795</v>
      </c>
      <c r="AO19" s="886">
        <f>IF(ISNUMBER((NºAsuntos!C19+NºAsuntos!E19)/NºAsuntos!G19),(NºAsuntos!C19+NºAsuntos!E19)/NºAsuntos!G19," - ")</f>
        <v>1.3768758526603002</v>
      </c>
      <c r="AP19" s="887" t="str">
        <f t="shared" si="2"/>
        <v xml:space="preserve"> - </v>
      </c>
      <c r="AQ19" s="888">
        <f>IF(OR(ISNUMBER(FIND("01",Criterios!A8,1)),ISNUMBER(FIND("02",Criterios!A8,1)),ISNUMBER(FIND("03",Criterios!A8,1)),ISNUMBER(FIND("04",Criterios!A8,1))),(I19-W19+K19)/(F19-K19),(H19-W19+K19)/(F19-K19))</f>
        <v>-3.8962264150943398</v>
      </c>
      <c r="AR19" s="889">
        <f>IF(ISNUMBER((Datos!P19-Datos!Q19)/(Datos!R19-Datos!P19+Datos!Q19)),(Datos!P19-Datos!Q19)/(Datos!R19-Datos!P19+Datos!Q19)," - ")</f>
        <v>-4.4843049327354259E-3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116.62475437630441</v>
      </c>
      <c r="G21" s="253">
        <f>IF(ISNUMBER(STDEV(G8:G18)),STDEV(G8:G18),"-")</f>
        <v>112.65078783568272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408.78820922330914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288.41960173793092</v>
      </c>
      <c r="AJ21" s="252">
        <f t="shared" si="18"/>
        <v>0</v>
      </c>
      <c r="AK21" s="254">
        <f t="shared" si="18"/>
        <v>0</v>
      </c>
      <c r="AL21" s="249">
        <f t="shared" si="18"/>
        <v>5.3697216659116094E-2</v>
      </c>
      <c r="AM21" s="250">
        <f t="shared" si="18"/>
        <v>1.6283193549719492</v>
      </c>
      <c r="AN21" s="250">
        <f t="shared" si="18"/>
        <v>0.15224771917205951</v>
      </c>
      <c r="AO21" s="251">
        <f t="shared" si="18"/>
        <v>0.14799314050472345</v>
      </c>
      <c r="AP21" s="291" t="str">
        <f t="shared" si="18"/>
        <v>-</v>
      </c>
      <c r="AQ21" s="292">
        <f t="shared" si="18"/>
        <v>1.8077338579899564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sBUehdssGCYQvA/H1f4eT3uPkfRFQYN9rZe7Au/1hVgwT1XrnAOngGl5SaWm0zJ9JiD1/BpMh2CRhd5voi+eA==" saltValue="aU9DIpC6dSOfMNOcqz6fT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LALIN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0.75</v>
      </c>
      <c r="F10" s="348">
        <f>IF(ISNUMBER((Datos!K10-Datos!U10)/Datos!U10),(Datos!K10-Datos!U10)/Datos!U10," - ")</f>
        <v>1.3333333333333333</v>
      </c>
      <c r="G10" s="349">
        <f>IF(ISNUMBER((Datos!L10-Datos!V10)/Datos!V10),(Datos!L10-Datos!V10)/Datos!V10," - ")</f>
        <v>0</v>
      </c>
      <c r="H10" s="230">
        <f>IF(ISNUMBER((Datos!M10-Datos!W10)/Datos!W10),(Datos!M10-Datos!W10)/Datos!W10," - ")</f>
        <v>0.33333333333333331</v>
      </c>
      <c r="I10" s="350">
        <f>IF(ISNUMBER((Tasas!C10-Datos!BE10)/Datos!BE10),(Tasas!C10-Datos!BE10)/Datos!BE10," - ")</f>
        <v>-0.5714285714285714</v>
      </c>
      <c r="J10" s="349">
        <f>IF(ISNUMBER((Tasas!D10-Datos!BF10)/Datos!BF10),(Tasas!D10-Datos!BF10)/Datos!BF10," - ")</f>
        <v>-0.4285714285714286</v>
      </c>
      <c r="K10" s="351">
        <f>IF(ISNUMBER((Tasas!E10-Datos!BG10)/Datos!BG10),(Tasas!E10-Datos!BG10)/Datos!BG10," - ")</f>
        <v>-0.35714285714285715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0.68918918918918914</v>
      </c>
      <c r="I12" s="350">
        <f>IF(ISNUMBER((Tasas!C12-Datos!BE12)/Datos!BE12),(Tasas!C12-Datos!BE12)/Datos!BE12," - ")</f>
        <v>8.667899757008702E-3</v>
      </c>
      <c r="J12" s="349">
        <f>IF(ISNUMBER((Tasas!D12-Datos!BF12)/Datos!BF12),(Tasas!D12-Datos!BF12)/Datos!BF12," - ")</f>
        <v>-0.22603438228438227</v>
      </c>
      <c r="K12" s="351">
        <f>IF(ISNUMBER((Tasas!E12-Datos!BG12)/Datos!BG12),(Tasas!E12-Datos!BG12)/Datos!BG12," - ")</f>
        <v>2.752654345261439E-3</v>
      </c>
      <c r="M12" t="e">
        <f>IF(Monitorios="SI",Datos!CE12,0)</f>
        <v>#REF!</v>
      </c>
      <c r="N12" t="e">
        <f>IF(Monitorios="SI",Datos!CF12,0)</f>
        <v>#REF!</v>
      </c>
      <c r="O12" t="e">
        <f>IF(Monitorios="SI",Datos!CG12,0)</f>
        <v>#REF!</v>
      </c>
      <c r="P12" t="e">
        <f>IF(Monitorios="SI",Datos!CH12,0)</f>
        <v>#REF!</v>
      </c>
      <c r="Q12">
        <f>IF(J_V="SI",0,Datos!AG12)</f>
        <v>33</v>
      </c>
      <c r="R12">
        <f>IF(J_V="SI",0,Datos!AH12)</f>
        <v>207</v>
      </c>
      <c r="S12">
        <f>IF(J_V="SI",0,Datos!AI12)</f>
        <v>212</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0.68632707774798929</v>
      </c>
      <c r="I13" s="357">
        <f>IF(ISNUMBER((Tasas!C13-Datos!BE13)/Datos!BE13),(Tasas!C13-Datos!BE13)/Datos!BE13," - ")</f>
        <v>6.0094811679437992E-3</v>
      </c>
      <c r="J13" s="355">
        <f>IF(ISNUMBER((Tasas!D13-Datos!BF13)/Datos!BF13),(Tasas!D13-Datos!BF13)/Datos!BF13," - ")</f>
        <v>-0.22569250366994642</v>
      </c>
      <c r="K13" s="358">
        <f>IF(ISNUMBER((Tasas!E13-Datos!BG13)/Datos!BG13),(Tasas!E13-Datos!BG13)/Datos!BG13," - ")</f>
        <v>2.018454387105116E-3</v>
      </c>
      <c r="M13" t="e">
        <f>IF(Monitorios="SI",Datos!CE13,0)</f>
        <v>#REF!</v>
      </c>
      <c r="N13" t="e">
        <f>IF(Monitorios="SI",Datos!CF13,0)</f>
        <v>#REF!</v>
      </c>
      <c r="O13" t="e">
        <f>IF(Monitorios="SI",Datos!CG13,0)</f>
        <v>#REF!</v>
      </c>
      <c r="P13" t="e">
        <f>IF(Monitorios="SI",Datos!CH13,0)</f>
        <v>#REF!</v>
      </c>
      <c r="Q13">
        <f>IF(J_V="SI",0,Datos!AG13)</f>
        <v>33</v>
      </c>
      <c r="R13">
        <f>IF(J_V="SI",0,Datos!AH13)</f>
        <v>207</v>
      </c>
      <c r="S13">
        <f>IF(J_V="SI",0,Datos!AI13)</f>
        <v>212</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0.20348837209302326</v>
      </c>
      <c r="E16" s="348">
        <f>IF(ISNUMBER(
   IF(D_I="SI",(Datos!J16-Datos!T16)/Datos!T16,(Datos!J16+Datos!AD16-(Datos!T16+Datos!AL16))/(Datos!T16+Datos!AL16))
     ),IF(D_I="SI",(Datos!J16-Datos!T16)/Datos!T16,(Datos!J16+Datos!AD16-(Datos!T16+Datos!AL16))/(Datos!T16+Datos!AL16))," - ")</f>
        <v>-0.18619246861924685</v>
      </c>
      <c r="F16" s="348">
        <f>IF(ISNUMBER(
   IF(D_I="SI",(Datos!K16-Datos!U16)/Datos!U16,(Datos!K16+Datos!AE16-(Datos!U16+Datos!AM16))/(Datos!U16+Datos!AM16))
     ),IF(D_I="SI",(Datos!K16-Datos!U16)/Datos!U16,(Datos!K16+Datos!AE16-(Datos!U16+Datos!AM16))/(Datos!U16+Datos!AM16))," - ")</f>
        <v>-0.20521172638436483</v>
      </c>
      <c r="G16" s="349">
        <f>IF(ISNUMBER(
   IF(D_I="SI",(Datos!L16-Datos!V16)/Datos!V16,(Datos!L16+Datos!AF16-(Datos!V16+Datos!AN16))/(Datos!V16+Datos!AN16))
     ),IF(D_I="SI",(Datos!L16-Datos!V16)/Datos!V16,(Datos!L16+Datos!AF16-(Datos!V16+Datos!AN16))/(Datos!V16+Datos!AN16))," - ")</f>
        <v>0.22222222222222221</v>
      </c>
      <c r="H16" s="230">
        <f>IF(ISNUMBER((Datos!M16-Datos!W16)/Datos!W16),(Datos!M16-Datos!W16)/Datos!W16," - ")</f>
        <v>2.6490066225165563E-2</v>
      </c>
      <c r="I16" s="350">
        <f>IF(ISNUMBER((Tasas!C16-Datos!BE16)/Datos!BE16),(Tasas!C16-Datos!BE16)/Datos!BE16," - ")</f>
        <v>0.53779599271402556</v>
      </c>
      <c r="J16" s="349">
        <f>IF(ISNUMBER((Tasas!D16-Datos!BF16)/Datos!BF16),(Tasas!D16-Datos!BF16)/Datos!BF16," - ")</f>
        <v>0.29152643578330273</v>
      </c>
      <c r="K16" s="351">
        <f>IF(ISNUMBER((Tasas!E16-Datos!BG16)/Datos!BG16),(Tasas!E16-Datos!BG16)/Datos!BG16," - ")</f>
        <v>9.8691285896988626E-2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0.70491803278688525</v>
      </c>
      <c r="F17" s="348">
        <f>IF(ISNUMBER(
   IF(D_I="SI",(Datos!K17-Datos!U17)/Datos!U17,(Datos!K17+Datos!AE17-(Datos!U17+Datos!AM17))/(Datos!U17+Datos!AM17))
     ),IF(D_I="SI",(Datos!K17-Datos!U17)/Datos!U17,(Datos!K17+Datos!AE17-(Datos!U17+Datos!AM17))/(Datos!U17+Datos!AM17))," - ")</f>
        <v>0.38095238095238093</v>
      </c>
      <c r="G17" s="349">
        <f>IF(ISNUMBER(
   IF(D_I="SI",(Datos!L17-Datos!V17)/Datos!V17,(Datos!L17+Datos!AF17-(Datos!V17+Datos!AN17))/(Datos!V17+Datos!AN17))
     ),IF(D_I="SI",(Datos!L17-Datos!V17)/Datos!V17,(Datos!L17+Datos!AF17-(Datos!V17+Datos!AN17))/(Datos!V17+Datos!AN17))," - ")</f>
        <v>1.5454545454545454</v>
      </c>
      <c r="H17" s="230">
        <f>IF(ISNUMBER((Datos!M17-Datos!W17)/Datos!W17),(Datos!M17-Datos!W17)/Datos!W17," - ")</f>
        <v>-7.6923076923076927E-2</v>
      </c>
      <c r="I17" s="350">
        <f>IF(ISNUMBER((Tasas!C17-Datos!BE17)/Datos!BE17),(Tasas!C17-Datos!BE17)/Datos!BE17," - ")</f>
        <v>0.84326018808777436</v>
      </c>
      <c r="J17" s="349">
        <f>IF(ISNUMBER((Tasas!D17-Datos!BF17)/Datos!BF17),(Tasas!D17-Datos!BF17)/Datos!BF17," - ")</f>
        <v>-0.33156498673740048</v>
      </c>
      <c r="K17" s="351">
        <f>IF(ISNUMBER((Tasas!E17-Datos!BG17)/Datos!BG17),(Tasas!E17-Datos!BG17)/Datos!BG17," - ")</f>
        <v>0.12534948741845295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0.17837837837837839</v>
      </c>
      <c r="E18" s="354">
        <f>IF(ISNUMBER(
   IF(D_I="SI",(Datos!J18-Datos!T18)/Datos!T18,(Datos!J18+Datos!AD18-(Datos!T18+Datos!AL18))/(Datos!T18+Datos!AL18))
     ),IF(D_I="SI",(Datos!J18-Datos!T18)/Datos!T18,(Datos!J18+Datos!AD18-(Datos!T18+Datos!AL18))/(Datos!T18+Datos!AL18))," - ")</f>
        <v>-0.13274336283185842</v>
      </c>
      <c r="F18" s="354">
        <f>IF(ISNUMBER(
   IF(D_I="SI",(Datos!K18-Datos!U18)/Datos!U18,(Datos!K18+Datos!AE18-(Datos!U18+Datos!AM18))/(Datos!U18+Datos!AM18))
     ),IF(D_I="SI",(Datos!K18-Datos!U18)/Datos!U18,(Datos!K18+Datos!AE18-(Datos!U18+Datos!AM18))/(Datos!U18+Datos!AM18))," - ")</f>
        <v>-0.1676829268292683</v>
      </c>
      <c r="G18" s="355">
        <f>IF(ISNUMBER(
   IF(D_I="SI",(Datos!L18-Datos!V18)/Datos!V18,(Datos!L18+Datos!AF18-(Datos!V18+Datos!AN18))/(Datos!V18+Datos!AN18))
     ),IF(D_I="SI",(Datos!L18-Datos!V18)/Datos!V18,(Datos!L18+Datos!AF18-(Datos!V18+Datos!AN18))/(Datos!V18+Datos!AN18))," - ")</f>
        <v>0.28899082568807338</v>
      </c>
      <c r="H18" s="356">
        <f>IF(ISNUMBER((Datos!M18-Datos!W18)/Datos!W18),(Datos!M18-Datos!W18)/Datos!W18," - ")</f>
        <v>1.8292682926829267E-2</v>
      </c>
      <c r="I18" s="357">
        <f>IF(ISNUMBER((Tasas!C18-Datos!BE18)/Datos!BE18),(Tasas!C18-Datos!BE18)/Datos!BE18," - ")</f>
        <v>0.54867762207211745</v>
      </c>
      <c r="J18" s="355">
        <f>IF(ISNUMBER((Tasas!D18-Datos!BF18)/Datos!BF18),(Tasas!D18-Datos!BF18)/Datos!BF18," - ")</f>
        <v>0.22344322344322348</v>
      </c>
      <c r="K18" s="358">
        <f>IF(ISNUMBER((Tasas!E18-Datos!BG18)/Datos!BG18),(Tasas!E18-Datos!BG18)/Datos!BG18," - ")</f>
        <v>9.9510583703595348E-2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0.14532019704433496</v>
      </c>
      <c r="E19" s="363">
        <f>IF(ISNUMBER(
   IF(J_V="SI",(Datos!J19-Datos!T19)/Datos!T19,(Datos!J19+Datos!Z19-(Datos!T19+Datos!AH19))/(Datos!T19+Datos!AH19))
     ),IF(J_V="SI",(Datos!J19-Datos!T19)/Datos!T19,(Datos!J19+Datos!Z19-(Datos!T19+Datos!AH19))/(Datos!T19+Datos!AH19))," - ")</f>
        <v>5.6443386603196193E-2</v>
      </c>
      <c r="F19" s="363">
        <f>IF(ISNUMBER(
   IF(J_V="SI",(Datos!K19-Datos!U19)/Datos!U19,(Datos!K19+Datos!AA19-(Datos!U19+Datos!AI19))/(Datos!U19+Datos!AI19))
     ),IF(J_V="SI",(Datos!K19-Datos!U19)/Datos!U19,(Datos!K19+Datos!AA19-(Datos!U19+Datos!AI19))/(Datos!U19+Datos!AI19))," - ")</f>
        <v>3.8611406305348921E-2</v>
      </c>
      <c r="G19" s="364">
        <f>IF(ISNUMBER(
   IF(J_V="SI",(Datos!L19-Datos!V19)/Datos!V19,(Datos!L19+Datos!AB19-(Datos!V19+Datos!AJ19))/(Datos!V19+Datos!AJ19))
     ),IF(J_V="SI",(Datos!L19-Datos!V19)/Datos!V19,(Datos!L19+Datos!AB19-(Datos!V19+Datos!AJ19))/(Datos!V19+Datos!AJ19))," - ")</f>
        <v>0.18709677419354839</v>
      </c>
      <c r="H19" s="365">
        <f>IF(ISNUMBER((Datos!M19-Datos!W19)/Datos!W19),(Datos!M19-Datos!W19)/Datos!W19," - ")</f>
        <v>0.48230912476722532</v>
      </c>
      <c r="I19" s="362">
        <f>IF(ISNUMBER((Tasas!C19-Datos!BE19)/Datos!BE19),(Tasas!C19-Datos!BE19)/Datos!BE19," - ")</f>
        <v>0.14296527747216484</v>
      </c>
      <c r="J19" s="363">
        <f>IF(ISNUMBER((Tasas!D19-Datos!BF19)/Datos!BF19),(Tasas!D19-Datos!BF19)/Datos!BF19," - ")</f>
        <v>-0.12008276384892612</v>
      </c>
      <c r="K19" s="364">
        <f>IF(ISNUMBER((Tasas!E19-Datos!BG19)/Datos!BG19),(Tasas!E19-Datos!BG19)/Datos!BG19," - ")</f>
        <v>3.5683595006668629E-2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0.18463394397540014</v>
      </c>
      <c r="E21" s="278">
        <f t="shared" si="1"/>
        <v>0.51286254762091654</v>
      </c>
      <c r="F21" s="278">
        <f t="shared" si="1"/>
        <v>0.71723994503135091</v>
      </c>
      <c r="G21" s="279">
        <f t="shared" si="1"/>
        <v>0.69853603296420119</v>
      </c>
      <c r="H21" s="285">
        <f t="shared" si="1"/>
        <v>0.34511801328322034</v>
      </c>
      <c r="I21" s="277">
        <f t="shared" si="1"/>
        <v>0.51260531740751214</v>
      </c>
      <c r="J21" s="278">
        <f t="shared" si="1"/>
        <v>0.29986948388150014</v>
      </c>
      <c r="K21" s="279">
        <f t="shared" si="1"/>
        <v>0.18043228980571155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JTJ0Ss51XCzO6hesdMW+evQOKjKsSplpnOW4on5DP0Gb4FmW4ztidpjMuFRI2OK3oum36vB/FEQ8RI8GhVQvg==" saltValue="7SB90iEg5BhqQlfTYOmx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7</v>
      </c>
      <c r="F10" s="226">
        <f>IF(ISNUMBER(Datos!K10),Datos!K10," - ")</f>
        <v>7</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7.8571428571428577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4.2725546058879393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207</v>
      </c>
      <c r="D16" s="225">
        <f>IF(ISNUMBER(IF(D_I="SI",Datos!I16,Datos!I16+Datos!AC16)),IF(D_I="SI",Datos!I16,Datos!I16+Datos!AC16)," - ")</f>
        <v>207</v>
      </c>
      <c r="E16" s="226">
        <f>IF(ISNUMBER(IF(D_I="SI",Datos!J16,Datos!J16+Datos!AD16)),IF(D_I="SI",Datos!J16,Datos!J16+Datos!AD16)," - ")</f>
        <v>778</v>
      </c>
      <c r="F16" s="226">
        <f>IF(ISNUMBER(IF(D_I="SI",Datos!K16,Datos!K16+Datos!AE16)),IF(D_I="SI",Datos!K16,Datos!K16+Datos!AE16)," - ")</f>
        <v>732</v>
      </c>
      <c r="G16" s="1034" t="str">
        <f>IF(Datos!E16&lt;&gt;"",Datos!E16,Datos!D16)</f>
        <v>04</v>
      </c>
      <c r="H16" s="227">
        <f>IF(ISNUMBER(IF(D_I="SI",Datos!L16,Datos!L16+Datos!AF16)),IF(D_I="SI",Datos!L16,Datos!L16+Datos!AF16)," - ")</f>
        <v>253</v>
      </c>
      <c r="I16" s="1044" t="str">
        <f>IF(ISNUMBER(Datos!AS16/Datos!BM16),Datos!AS16/Datos!BM16," - ")</f>
        <v xml:space="preserve"> - </v>
      </c>
      <c r="J16" s="1045">
        <f>IF(ISNUMBER(Datos!BY16/Datos!CN16),Datos!BY16/Datos!CN16," - ")</f>
        <v>0</v>
      </c>
      <c r="K16" s="230">
        <f t="shared" si="3"/>
        <v>0.22222222222222221</v>
      </c>
      <c r="L16" s="1025">
        <f>IF(ISNUMBER(NºAsuntos!I16/NºAsuntos!G16),(NºAsuntos!I16/NºAsuntos!G16)*11," - ")</f>
        <v>3.8019125683060109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104</v>
      </c>
      <c r="F17" s="226">
        <f>IF(ISNUMBER(IF(D_I="SI",Datos!K17,Datos!K17+Datos!AE17)),IF(D_I="SI",Datos!K17,Datos!K17+Datos!AE17)," - ")</f>
        <v>87</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1.5454545454545454</v>
      </c>
      <c r="L17" s="1025">
        <f>IF(ISNUMBER(NºAsuntos!I17/NºAsuntos!G17),(NºAsuntos!I17/NºAsuntos!G17)*11," - ")</f>
        <v>3.5402298850574714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218</v>
      </c>
      <c r="D18" s="1049">
        <f>SUBTOTAL(9,D15:D17)</f>
        <v>218</v>
      </c>
      <c r="E18" s="1050">
        <f>SUBTOTAL(9,E15:E17)</f>
        <v>882</v>
      </c>
      <c r="F18" s="1050">
        <f>SUBTOTAL(9,F15:F17)</f>
        <v>819</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223</v>
      </c>
      <c r="D19" s="1071">
        <f>SUBTOTAL(9,D9:D18)</f>
        <v>223</v>
      </c>
      <c r="E19" s="1072">
        <f>SUBTOTAL(9,E9:E18)</f>
        <v>889</v>
      </c>
      <c r="F19" s="1072">
        <f>SUBTOTAL(9,F9:F18)</f>
        <v>826</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GpStbfLOwhTx1FwZRTdqs01ls135QdQD8jJjePkSAGBl3xZWh/crox2pvo4Gt4cCiWuGBunoOPebeyKQVwRjQ==" saltValue="xt1IZAb2ISXKJJtEC3Zd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G8W0MmoAlDHXdBoXWSDH6yhGUH7AS3CK3dg9FfIWnZsPchSEb9dfpwyUaYth8SV9LR8bmKwd7QkAzFYw4vIqw==" saltValue="fQzX++6OlzKOTTD3s3Al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7</v>
      </c>
      <c r="K10" s="181">
        <v>7</v>
      </c>
      <c r="L10" s="181">
        <v>5</v>
      </c>
      <c r="M10" s="181">
        <v>4</v>
      </c>
      <c r="N10" s="181">
        <v>2</v>
      </c>
      <c r="O10" s="181">
        <v>0</v>
      </c>
      <c r="P10" s="181">
        <v>0</v>
      </c>
      <c r="Q10" s="181">
        <v>0</v>
      </c>
      <c r="R10" s="181">
        <v>0</v>
      </c>
      <c r="S10" s="181">
        <v>4</v>
      </c>
      <c r="T10" s="181">
        <v>4</v>
      </c>
      <c r="U10" s="181">
        <v>3</v>
      </c>
      <c r="V10" s="181">
        <v>5</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4</v>
      </c>
      <c r="BA10" s="129">
        <f t="shared" si="0"/>
        <v>3</v>
      </c>
      <c r="BB10" s="129">
        <f t="shared" si="0"/>
        <v>5</v>
      </c>
      <c r="BC10" s="125">
        <f t="shared" si="0"/>
        <v>3</v>
      </c>
      <c r="BD10" s="126">
        <f>IF(ISNUMBER(BA10/AZ10),BA10/AZ10," - ")</f>
        <v>0.75</v>
      </c>
      <c r="BE10" s="127">
        <f>IF(ISNUMBER(BB10/BA10),BB10/BA10, " - ")</f>
        <v>1.6666666666666667</v>
      </c>
      <c r="BF10" s="127">
        <f>IF(ISNUMBER(BC10/BA10),BC10/BA10, " - ")</f>
        <v>1</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679</v>
      </c>
      <c r="J12" s="183">
        <v>2013</v>
      </c>
      <c r="K12" s="183">
        <v>1877</v>
      </c>
      <c r="L12" s="183">
        <v>814</v>
      </c>
      <c r="M12" s="183">
        <v>625</v>
      </c>
      <c r="N12" s="183">
        <v>688</v>
      </c>
      <c r="O12" s="181">
        <v>1118</v>
      </c>
      <c r="P12" s="183">
        <v>460</v>
      </c>
      <c r="Q12" s="183">
        <v>479</v>
      </c>
      <c r="R12" s="183">
        <v>1504</v>
      </c>
      <c r="S12" s="183">
        <v>590</v>
      </c>
      <c r="T12" s="183">
        <v>1713</v>
      </c>
      <c r="U12" s="183">
        <v>1624</v>
      </c>
      <c r="V12" s="183">
        <v>679</v>
      </c>
      <c r="W12" s="183">
        <v>370</v>
      </c>
      <c r="X12" s="189">
        <v>704</v>
      </c>
      <c r="Y12" s="191">
        <v>28</v>
      </c>
      <c r="Z12" s="181">
        <v>205</v>
      </c>
      <c r="AA12" s="181">
        <v>229</v>
      </c>
      <c r="AB12" s="181">
        <v>4</v>
      </c>
      <c r="AC12" s="183">
        <v>0</v>
      </c>
      <c r="AD12" s="183">
        <v>0</v>
      </c>
      <c r="AE12" s="183">
        <v>0</v>
      </c>
      <c r="AF12" s="189">
        <v>0</v>
      </c>
      <c r="AG12" s="202">
        <v>33</v>
      </c>
      <c r="AH12" s="183">
        <v>207</v>
      </c>
      <c r="AI12" s="183">
        <v>212</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623</v>
      </c>
      <c r="AZ12" s="127">
        <f t="shared" si="1"/>
        <v>1920</v>
      </c>
      <c r="BA12" s="127">
        <f t="shared" si="1"/>
        <v>1836</v>
      </c>
      <c r="BB12" s="127">
        <f t="shared" si="1"/>
        <v>707</v>
      </c>
      <c r="BC12" s="125">
        <f>IF(ISNUMBER(X12),X12," - ")</f>
        <v>704</v>
      </c>
      <c r="BD12" s="126">
        <f t="shared" si="2"/>
        <v>0.95625000000000004</v>
      </c>
      <c r="BE12" s="127">
        <f t="shared" si="3"/>
        <v>0.38507625272331153</v>
      </c>
      <c r="BF12" s="127">
        <f t="shared" si="4"/>
        <v>0.38344226579520696</v>
      </c>
      <c r="BG12" s="196">
        <f t="shared" si="5"/>
        <v>1.3850762527233116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684</v>
      </c>
      <c r="J13" s="184">
        <f t="shared" si="6"/>
        <v>2020</v>
      </c>
      <c r="K13" s="184">
        <f t="shared" si="6"/>
        <v>1884</v>
      </c>
      <c r="L13" s="184">
        <f t="shared" si="6"/>
        <v>819</v>
      </c>
      <c r="M13" s="184">
        <f t="shared" si="6"/>
        <v>629</v>
      </c>
      <c r="N13" s="184">
        <f t="shared" si="6"/>
        <v>690</v>
      </c>
      <c r="O13" s="184">
        <f t="shared" si="6"/>
        <v>1118</v>
      </c>
      <c r="P13" s="184">
        <f t="shared" si="6"/>
        <v>460</v>
      </c>
      <c r="Q13" s="184">
        <f t="shared" si="6"/>
        <v>479</v>
      </c>
      <c r="R13" s="184">
        <f t="shared" si="6"/>
        <v>1504</v>
      </c>
      <c r="S13" s="184">
        <f t="shared" si="6"/>
        <v>594</v>
      </c>
      <c r="T13" s="184">
        <f t="shared" si="6"/>
        <v>1717</v>
      </c>
      <c r="U13" s="184">
        <f t="shared" si="6"/>
        <v>1627</v>
      </c>
      <c r="V13" s="184">
        <f t="shared" si="6"/>
        <v>684</v>
      </c>
      <c r="W13" s="184">
        <f t="shared" si="6"/>
        <v>373</v>
      </c>
      <c r="X13" s="184">
        <f t="shared" si="6"/>
        <v>704</v>
      </c>
      <c r="Y13" s="184">
        <f t="shared" si="6"/>
        <v>28</v>
      </c>
      <c r="Z13" s="184">
        <f t="shared" si="6"/>
        <v>205</v>
      </c>
      <c r="AA13" s="184">
        <f t="shared" si="6"/>
        <v>229</v>
      </c>
      <c r="AB13" s="184">
        <f t="shared" si="6"/>
        <v>4</v>
      </c>
      <c r="AC13" s="184">
        <f t="shared" si="6"/>
        <v>0</v>
      </c>
      <c r="AD13" s="184">
        <f t="shared" si="6"/>
        <v>0</v>
      </c>
      <c r="AE13" s="184">
        <f t="shared" si="6"/>
        <v>0</v>
      </c>
      <c r="AF13" s="184">
        <f>SUBTOTAL(9,AF9:AF12)</f>
        <v>0</v>
      </c>
      <c r="AG13" s="184">
        <f t="shared" ref="AG13:AT13" si="7">SUBTOTAL(9,AG8:AG12)</f>
        <v>33</v>
      </c>
      <c r="AH13" s="184">
        <f t="shared" si="7"/>
        <v>207</v>
      </c>
      <c r="AI13" s="184">
        <f t="shared" si="7"/>
        <v>212</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627</v>
      </c>
      <c r="AZ13" s="184">
        <f>SUBTOTAL(9,AZ8:AZ12)</f>
        <v>1924</v>
      </c>
      <c r="BA13" s="184">
        <f>SUBTOTAL(9,BA8:BA12)</f>
        <v>1839</v>
      </c>
      <c r="BB13" s="184">
        <f>SUBTOTAL(9,BB8:BB12)</f>
        <v>712</v>
      </c>
      <c r="BC13" s="184">
        <f>SUBTOTAL(9,BC8:BC12)</f>
        <v>707</v>
      </c>
      <c r="BD13" s="205">
        <f>IF(ISNUMBER(BA13/AZ13),BA13/AZ13," - ")</f>
        <v>0.95582120582120578</v>
      </c>
      <c r="BE13" s="206">
        <f>IF(ISNUMBER(BB13/BA13),BB13/BA13, " - ")</f>
        <v>0.38716693855356171</v>
      </c>
      <c r="BF13" s="206">
        <f>IF(ISNUMBER(BC13/BA13),BC13/BA13, " - ")</f>
        <v>0.38444806960304512</v>
      </c>
      <c r="BG13" s="207">
        <f>IF(ISNUMBER((AY13+AZ13)/BA13),(AY13+AZ13)/BA13," - ")</f>
        <v>1.3871669385535617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v>
      </c>
      <c r="J16" s="183">
        <v>778</v>
      </c>
      <c r="K16" s="183">
        <v>732</v>
      </c>
      <c r="L16" s="183">
        <v>253</v>
      </c>
      <c r="M16" s="183">
        <v>155</v>
      </c>
      <c r="N16" s="183">
        <v>384</v>
      </c>
      <c r="O16" s="181">
        <v>15</v>
      </c>
      <c r="P16" s="183">
        <v>43</v>
      </c>
      <c r="Q16" s="183">
        <v>31</v>
      </c>
      <c r="R16" s="183">
        <v>49</v>
      </c>
      <c r="S16" s="183">
        <v>172</v>
      </c>
      <c r="T16" s="183">
        <v>956</v>
      </c>
      <c r="U16" s="183">
        <v>921</v>
      </c>
      <c r="V16" s="183">
        <v>207</v>
      </c>
      <c r="W16" s="183">
        <v>151</v>
      </c>
      <c r="X16" s="189">
        <v>486</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172</v>
      </c>
      <c r="AZ16" s="127">
        <f t="shared" si="9"/>
        <v>956</v>
      </c>
      <c r="BA16" s="127">
        <f t="shared" si="9"/>
        <v>921</v>
      </c>
      <c r="BB16" s="127">
        <f t="shared" si="9"/>
        <v>207</v>
      </c>
      <c r="BC16" s="125">
        <f>IF(ISNUMBER(W16),W16," - ")</f>
        <v>151</v>
      </c>
      <c r="BD16" s="126">
        <f t="shared" ref="BD16" si="11">IF(ISNUMBER(BA16/AZ16),BA16/AZ16," - ")</f>
        <v>0.96338912133891208</v>
      </c>
      <c r="BE16" s="127">
        <f t="shared" ref="BE16" si="12">IF(ISNUMBER(BB16/BA16),BB16/BA16, " - ")</f>
        <v>0.22475570032573289</v>
      </c>
      <c r="BF16" s="127">
        <f t="shared" ref="BF16" si="13">IF(ISNUMBER(BC16/BA16),BC16/BA16, " - ")</f>
        <v>0.16395222584147665</v>
      </c>
      <c r="BG16" s="196">
        <f t="shared" si="10"/>
        <v>1.224755700325733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104</v>
      </c>
      <c r="K17" s="183">
        <v>87</v>
      </c>
      <c r="L17" s="183">
        <v>28</v>
      </c>
      <c r="M17" s="183">
        <v>12</v>
      </c>
      <c r="N17" s="183">
        <v>65</v>
      </c>
      <c r="O17" s="183">
        <v>0</v>
      </c>
      <c r="P17" s="183">
        <v>0</v>
      </c>
      <c r="Q17" s="183">
        <v>0</v>
      </c>
      <c r="R17" s="183">
        <v>1</v>
      </c>
      <c r="S17" s="183">
        <v>13</v>
      </c>
      <c r="T17" s="183">
        <v>61</v>
      </c>
      <c r="U17" s="183">
        <v>63</v>
      </c>
      <c r="V17" s="183">
        <v>11</v>
      </c>
      <c r="W17" s="183">
        <v>13</v>
      </c>
      <c r="X17" s="189">
        <v>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61</v>
      </c>
      <c r="BA17" s="129">
        <f t="shared" si="14"/>
        <v>63</v>
      </c>
      <c r="BB17" s="129">
        <f t="shared" si="14"/>
        <v>11</v>
      </c>
      <c r="BC17" s="125">
        <f>IF(ISNUMBER(W17),W17," - ")</f>
        <v>13</v>
      </c>
      <c r="BD17" s="126">
        <f>IF(ISNUMBER(BA17/AZ17),BA17/AZ17," - ")</f>
        <v>1.0327868852459017</v>
      </c>
      <c r="BE17" s="127">
        <f>IF(ISNUMBER(BB17/BA17),BB17/BA17, " - ")</f>
        <v>0.17460317460317459</v>
      </c>
      <c r="BF17" s="127">
        <f>IF(ISNUMBER(BC17/BA17),BC17/BA17, " - ")</f>
        <v>0.20634920634920634</v>
      </c>
      <c r="BG17" s="196">
        <f>IF(ISNUMBER((AY17+AZ17)/BA17),(AY17+AZ17)/BA17," - ")</f>
        <v>1.1746031746031746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218</v>
      </c>
      <c r="J18" s="184">
        <f t="shared" si="15"/>
        <v>882</v>
      </c>
      <c r="K18" s="184">
        <f t="shared" si="15"/>
        <v>819</v>
      </c>
      <c r="L18" s="184">
        <f t="shared" si="15"/>
        <v>281</v>
      </c>
      <c r="M18" s="184">
        <f t="shared" si="15"/>
        <v>167</v>
      </c>
      <c r="N18" s="184">
        <f t="shared" si="15"/>
        <v>449</v>
      </c>
      <c r="O18" s="184">
        <f t="shared" si="15"/>
        <v>15</v>
      </c>
      <c r="P18" s="184">
        <f t="shared" si="15"/>
        <v>43</v>
      </c>
      <c r="Q18" s="184">
        <f t="shared" si="15"/>
        <v>31</v>
      </c>
      <c r="R18" s="184">
        <f t="shared" si="15"/>
        <v>50</v>
      </c>
      <c r="S18" s="184">
        <f t="shared" si="15"/>
        <v>185</v>
      </c>
      <c r="T18" s="184">
        <f t="shared" si="15"/>
        <v>1017</v>
      </c>
      <c r="U18" s="184">
        <f t="shared" si="15"/>
        <v>984</v>
      </c>
      <c r="V18" s="184">
        <f t="shared" si="15"/>
        <v>218</v>
      </c>
      <c r="W18" s="184">
        <f t="shared" si="15"/>
        <v>164</v>
      </c>
      <c r="X18" s="184">
        <f t="shared" si="15"/>
        <v>549</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185</v>
      </c>
      <c r="AZ18" s="184">
        <f>SUBTOTAL(9,AZ14:AZ17)</f>
        <v>1017</v>
      </c>
      <c r="BA18" s="184">
        <f>SUBTOTAL(9,BA14:BA17)</f>
        <v>984</v>
      </c>
      <c r="BB18" s="184">
        <f>SUBTOTAL(9,BB14:BB17)</f>
        <v>218</v>
      </c>
      <c r="BC18" s="184">
        <f>SUBTOTAL(9,BC14:BC17)</f>
        <v>164</v>
      </c>
      <c r="BD18" s="205">
        <f>IF(ISNUMBER(BA18/AZ18),BA18/AZ18," - ")</f>
        <v>0.96755162241887904</v>
      </c>
      <c r="BE18" s="206">
        <f>IF(ISNUMBER(BB18/BA18),BB18/BA18, " - ")</f>
        <v>0.22154471544715448</v>
      </c>
      <c r="BF18" s="206">
        <f>IF(ISNUMBER(BC18/BA18),BC18/BA18, " - ")</f>
        <v>0.16666666666666666</v>
      </c>
      <c r="BG18" s="207">
        <f>IF(ISNUMBER((AY18+AZ18)/BA18),(AY18+AZ18)/BA18," - ")</f>
        <v>1.2215447154471544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902</v>
      </c>
      <c r="J19" s="134">
        <f t="shared" si="18"/>
        <v>2902</v>
      </c>
      <c r="K19" s="134">
        <f t="shared" si="18"/>
        <v>2703</v>
      </c>
      <c r="L19" s="134">
        <f t="shared" si="18"/>
        <v>1100</v>
      </c>
      <c r="M19" s="134">
        <f t="shared" si="18"/>
        <v>796</v>
      </c>
      <c r="N19" s="134">
        <f t="shared" si="18"/>
        <v>1139</v>
      </c>
      <c r="O19" s="134">
        <f t="shared" si="18"/>
        <v>1133</v>
      </c>
      <c r="P19" s="134">
        <f t="shared" si="18"/>
        <v>503</v>
      </c>
      <c r="Q19" s="134">
        <f t="shared" si="18"/>
        <v>510</v>
      </c>
      <c r="R19" s="134">
        <f t="shared" si="18"/>
        <v>1554</v>
      </c>
      <c r="S19" s="134">
        <f t="shared" si="18"/>
        <v>779</v>
      </c>
      <c r="T19" s="134">
        <f t="shared" si="18"/>
        <v>2734</v>
      </c>
      <c r="U19" s="134">
        <f t="shared" si="18"/>
        <v>2611</v>
      </c>
      <c r="V19" s="134">
        <f t="shared" si="18"/>
        <v>902</v>
      </c>
      <c r="W19" s="134">
        <f t="shared" si="18"/>
        <v>537</v>
      </c>
      <c r="X19" s="134">
        <f t="shared" si="18"/>
        <v>1253</v>
      </c>
      <c r="Y19" s="134">
        <f t="shared" si="18"/>
        <v>28</v>
      </c>
      <c r="Z19" s="134">
        <f t="shared" si="18"/>
        <v>205</v>
      </c>
      <c r="AA19" s="134">
        <f t="shared" si="18"/>
        <v>229</v>
      </c>
      <c r="AB19" s="134">
        <f t="shared" si="18"/>
        <v>4</v>
      </c>
      <c r="AC19" s="134">
        <f t="shared" si="18"/>
        <v>0</v>
      </c>
      <c r="AD19" s="134">
        <f t="shared" si="18"/>
        <v>2</v>
      </c>
      <c r="AE19" s="134">
        <f t="shared" si="18"/>
        <v>2</v>
      </c>
      <c r="AF19" s="134">
        <f t="shared" si="18"/>
        <v>0</v>
      </c>
      <c r="AG19" s="134">
        <f t="shared" si="18"/>
        <v>33</v>
      </c>
      <c r="AH19" s="134">
        <f t="shared" si="18"/>
        <v>207</v>
      </c>
      <c r="AI19" s="134">
        <f t="shared" si="18"/>
        <v>212</v>
      </c>
      <c r="AJ19" s="134">
        <f t="shared" si="18"/>
        <v>28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812</v>
      </c>
      <c r="AZ19" s="134">
        <f>SUBTOTAL(9,AZ9:AZ18)</f>
        <v>2941</v>
      </c>
      <c r="BA19" s="134">
        <f>SUBTOTAL(9,BA9:BA18)</f>
        <v>2823</v>
      </c>
      <c r="BB19" s="134">
        <f>SUBTOTAL(9,BB9:BB18)</f>
        <v>930</v>
      </c>
      <c r="BC19" s="135">
        <f>SUBTOTAL(9,BC9:BC18)</f>
        <v>871</v>
      </c>
      <c r="BD19" s="213">
        <f>IF(ISNUMBER(BA19/AZ19),BA19/AZ19," - ")</f>
        <v>0.95987759265555939</v>
      </c>
      <c r="BE19" s="210">
        <f>IF(ISNUMBER(BB19/BA19),BB19/BA19, " - ")</f>
        <v>0.32943676939426142</v>
      </c>
      <c r="BF19" s="210">
        <f>IF(ISNUMBER(BC19/BA19),BC19/BA19, " - ")</f>
        <v>0.30853701735742117</v>
      </c>
      <c r="BG19" s="135">
        <f>IF(ISNUMBER((AY19+AZ19)/BA19),(AY19+AZ19)/BA19," - ")</f>
        <v>1.3294367693942615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mkjkhjdttwebZxsWtHTLKs6/dFfJUlcm5D4rwckvniVbgmZ2MukbBG/7NIFLS1AVwILZK+eyNql2ciOckdzzw==" saltValue="hKOEmfTUGoCeqW5L7SUM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T8arx1THupxM4frqGMj0vZwoMdf+ogB830GVM4rk5wUesxsXpKODjjuOQkdd56RwP5HseiQZI0WX0mwooZ0kQ==" saltValue="BxoWDFYRZCRSMSOm5OZ1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7.8571428571428577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205</v>
      </c>
      <c r="O12" s="334"/>
      <c r="P12" s="334"/>
      <c r="Q12" s="226">
        <f>IF(ISNUMBER(Datos!P12),Datos!P12,0)</f>
        <v>460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1504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625</v>
      </c>
      <c r="BD12" s="229">
        <f>IF(ISNUMBER(Datos!N12),Datos!N12," - ")</f>
        <v>688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0.9495040577096483</v>
      </c>
      <c r="BH12" s="260">
        <f>IF(ISNUMBER(((IF(J_V="SI",Datos!L12/Datos!K12,(Datos!L12+Datos!AB12)/(Datos!K12+Datos!AA12)))*11)/factor_trimestre),((IF(J_V="SI",Datos!L12/Datos!K12,(Datos!L12+Datos!AB12)/(Datos!K12+Datos!AA12)))*11)/factor_trimestre," - ")</f>
        <v>4.2725546058879393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-1.247537754432042E-2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205</v>
      </c>
      <c r="O13" s="900">
        <f t="shared" si="0"/>
        <v>0</v>
      </c>
      <c r="P13" s="900">
        <f t="shared" si="0"/>
        <v>0</v>
      </c>
      <c r="Q13" s="899">
        <f t="shared" si="0"/>
        <v>460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479</v>
      </c>
      <c r="AD13" s="899">
        <f t="shared" si="1"/>
        <v>0</v>
      </c>
      <c r="AE13" s="899">
        <f t="shared" si="1"/>
        <v>0</v>
      </c>
      <c r="AF13" s="899">
        <f t="shared" si="1"/>
        <v>5</v>
      </c>
      <c r="AG13" s="899">
        <f t="shared" si="1"/>
        <v>0</v>
      </c>
      <c r="AH13" s="899">
        <f t="shared" si="1"/>
        <v>4</v>
      </c>
      <c r="AI13" s="899">
        <f t="shared" si="1"/>
        <v>0</v>
      </c>
      <c r="AJ13" s="899">
        <f t="shared" si="1"/>
        <v>0</v>
      </c>
      <c r="AK13" s="899">
        <f t="shared" si="1"/>
        <v>0</v>
      </c>
      <c r="AL13" s="899">
        <f t="shared" si="1"/>
        <v>0</v>
      </c>
      <c r="AM13" s="899">
        <f t="shared" si="1"/>
        <v>1504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629</v>
      </c>
      <c r="BD13" s="899">
        <f t="shared" si="1"/>
        <v>690</v>
      </c>
      <c r="BE13" s="899">
        <f t="shared" si="1"/>
        <v>0</v>
      </c>
      <c r="BF13" s="899">
        <f t="shared" si="1"/>
        <v>0</v>
      </c>
      <c r="BG13" s="899">
        <f>IF(ISNUMBER(Datos!K13/Datos!J13),Datos!K13/Datos!J13," - ")</f>
        <v>0.93267326732673272</v>
      </c>
      <c r="BH13" s="903">
        <f>IF(ISNUMBER(((Datos!L13/Datos!K13)*11)/factor_trimestre),((Datos!L13/Datos!K13)*11)/factor_trimestre," - ")</f>
        <v>4.781847133757962</v>
      </c>
      <c r="BI13" s="899">
        <f>IF(ISNUMBER('Resol  Asuntos'!D13/NºAsuntos!G13),'Resol  Asuntos'!D13/NºAsuntos!G13," - ")</f>
        <v>0.29768102224325604</v>
      </c>
      <c r="BJ13" s="899" t="str">
        <f>IF(ISNUMBER(Datos!CI13/Datos!CJ13),Datos!CI13/Datos!CJ13," - ")</f>
        <v xml:space="preserve"> - </v>
      </c>
      <c r="BK13" s="899">
        <f>SUBTOTAL(9,BK8:BK12)</f>
        <v>0</v>
      </c>
      <c r="BL13" s="899">
        <f>IF(ISNUMBER((I13-AB13+L13)/(F13)),(I13-AB13+L13)/(F13)," - ")</f>
        <v>-1.4</v>
      </c>
      <c r="BM13" s="904">
        <f>SUBTOTAL(9,BM9:BM12)</f>
        <v>-1.247537754432042E-2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207</v>
      </c>
      <c r="G16" s="598">
        <f>IF(ISNUMBER(IF(D_I="SI",Datos!I16,Datos!I16+Datos!AC16)),IF(D_I="SI",Datos!I16,Datos!I16+Datos!AC16)," - ")</f>
        <v>207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732</v>
      </c>
      <c r="AC16" s="226">
        <f>IF(ISNUMBER(Datos!Q16),Datos!Q16," - ")</f>
        <v>31</v>
      </c>
      <c r="AD16" s="334"/>
      <c r="AE16" s="484"/>
      <c r="AF16" s="596">
        <f>IF(ISNUMBER(IF(D_I="SI",Datos!L16,Datos!L16+Datos!AF16)),IF(D_I="SI",Datos!L16,Datos!L16+Datos!AF16)," - ")</f>
        <v>253</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155</v>
      </c>
      <c r="BD16" s="229">
        <f>IF(ISNUMBER(Datos!N16),Datos!N16," - ")</f>
        <v>384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0.94087403598971719</v>
      </c>
      <c r="BH16" s="260">
        <f>IF(ISNUMBER(((IF(D_I="SI",Datos!L16/Datos!K16,(Datos!L16+Datos!AF16)/(Datos!K16+Datos!AE16)))*11)/factor_trimestre),((IF(D_I="SI",Datos!L16/Datos!K16,(Datos!L16+Datos!AF16)/(Datos!K16+Datos!AE16)))*11)/factor_trimestre," - ")</f>
        <v>3.8019125683060109</v>
      </c>
      <c r="BI16" s="243">
        <f>IF(ISNUMBER('Resol  Asuntos'!D16/NºAsuntos!G16),'Resol  Asuntos'!D16/NºAsuntos!G16," - ")</f>
        <v>0.21174863387978143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87</v>
      </c>
      <c r="AC17" s="226">
        <f>IF(ISNUMBER(Datos!Q17),Datos!Q17," - ")</f>
        <v>0</v>
      </c>
      <c r="AD17" s="334"/>
      <c r="AE17" s="484"/>
      <c r="AF17" s="332">
        <f>IF(ISNUMBER(Datos!L17),Datos!L17,"-")</f>
        <v>28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0.83653846153846156</v>
      </c>
      <c r="BH17" s="260">
        <f>IF(ISNUMBER(((IF(D_I="SI",Datos!L17/Datos!K17,(Datos!L17+Datos!AF17)/(Datos!K17+Datos!AE17)))*11)/factor_trimestre),((IF(D_I="SI",Datos!L17/Datos!K17,(Datos!L17+Datos!AF17)/(Datos!K17+Datos!AE17)))*11)/factor_trimestre," - ")</f>
        <v>3.5402298850574714</v>
      </c>
      <c r="BI17" s="243">
        <f>IF(ISNUMBER('Resol  Asuntos'!D17/NºAsuntos!G17),'Resol  Asuntos'!D17/NºAsuntos!G17," - ")</f>
        <v>0.13793103448275862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207</v>
      </c>
      <c r="G18" s="898">
        <f>SUBTOTAL(9,G15:G17)</f>
        <v>218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819</v>
      </c>
      <c r="AC18" s="899">
        <f t="shared" si="4"/>
        <v>31</v>
      </c>
      <c r="AD18" s="899">
        <f t="shared" si="4"/>
        <v>0</v>
      </c>
      <c r="AE18" s="899">
        <f t="shared" si="4"/>
        <v>0</v>
      </c>
      <c r="AF18" s="899">
        <f t="shared" si="4"/>
        <v>281</v>
      </c>
      <c r="AG18" s="899">
        <f t="shared" si="4"/>
        <v>0</v>
      </c>
      <c r="AH18" s="899">
        <f t="shared" si="4"/>
        <v>0</v>
      </c>
      <c r="AI18" s="899">
        <f t="shared" si="4"/>
        <v>0</v>
      </c>
      <c r="AJ18" s="899">
        <f t="shared" si="4"/>
        <v>0</v>
      </c>
      <c r="AK18" s="899">
        <f t="shared" si="4"/>
        <v>0</v>
      </c>
      <c r="AL18" s="899">
        <f t="shared" si="4"/>
        <v>0</v>
      </c>
      <c r="AM18" s="899">
        <f t="shared" si="4"/>
        <v>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167</v>
      </c>
      <c r="BD18" s="899">
        <f t="shared" si="4"/>
        <v>449</v>
      </c>
      <c r="BE18" s="899">
        <f t="shared" si="4"/>
        <v>0</v>
      </c>
      <c r="BF18" s="899">
        <f t="shared" si="4"/>
        <v>0</v>
      </c>
      <c r="BG18" s="899">
        <f>IF(ISNUMBER(Datos!K18/Datos!J18),Datos!K18/Datos!J18," - ")</f>
        <v>0.9285714285714286</v>
      </c>
      <c r="BH18" s="903">
        <f>IF(ISNUMBER(((Datos!L18/Datos!K18)*11)/factor_trimestre),((Datos!L18/Datos!K18)*11)/factor_trimestre," - ")</f>
        <v>3.774114774114774</v>
      </c>
      <c r="BI18" s="899">
        <f>SUBTOTAL(9,BI15:BI17)</f>
        <v>0.34967966836254005</v>
      </c>
      <c r="BJ18" s="899">
        <f>SUBTOTAL(9,BJ15:BJ17)</f>
        <v>0</v>
      </c>
      <c r="BK18" s="899">
        <f>SUBTOTAL(9,BK15:BK17)</f>
        <v>0</v>
      </c>
      <c r="BL18" s="899">
        <f>IF(ISNUMBER((I18-AB18+L18)/(F18)),(I18-AB18+L18)/(F18)," - ")</f>
        <v>-3.9565217391304346</v>
      </c>
      <c r="BM18" s="905">
        <f>IF(ISNUMBER((Datos!P18-Datos!Q18)/(Datos!R18-Datos!P18+Datos!Q18)),(Datos!P18-Datos!Q18)/(Datos!R18-Datos!P18+Datos!Q18)," - ")</f>
        <v>0.31578947368421051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212</v>
      </c>
      <c r="G19" s="820">
        <f t="shared" si="6"/>
        <v>223</v>
      </c>
      <c r="H19" s="822">
        <f t="shared" si="6"/>
        <v>0</v>
      </c>
      <c r="I19" s="820">
        <f t="shared" si="6"/>
        <v>0</v>
      </c>
      <c r="J19" s="822">
        <f t="shared" si="6"/>
        <v>0</v>
      </c>
      <c r="K19" s="822">
        <f t="shared" si="6"/>
        <v>0</v>
      </c>
      <c r="L19" s="881">
        <f t="shared" si="6"/>
        <v>0</v>
      </c>
      <c r="M19" s="881">
        <f t="shared" si="6"/>
        <v>0</v>
      </c>
      <c r="N19" s="881">
        <f t="shared" si="6"/>
        <v>205</v>
      </c>
      <c r="O19" s="881">
        <f t="shared" si="6"/>
        <v>0</v>
      </c>
      <c r="P19" s="881">
        <f t="shared" si="6"/>
        <v>0</v>
      </c>
      <c r="Q19" s="822">
        <f t="shared" si="6"/>
        <v>503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826</v>
      </c>
      <c r="AC19" s="821">
        <f t="shared" si="7"/>
        <v>510</v>
      </c>
      <c r="AD19" s="821">
        <f t="shared" si="7"/>
        <v>0</v>
      </c>
      <c r="AE19" s="821">
        <f t="shared" si="7"/>
        <v>0</v>
      </c>
      <c r="AF19" s="828">
        <f t="shared" si="7"/>
        <v>286</v>
      </c>
      <c r="AG19" s="828">
        <f t="shared" si="7"/>
        <v>0</v>
      </c>
      <c r="AH19" s="828">
        <f t="shared" si="7"/>
        <v>4</v>
      </c>
      <c r="AI19" s="828">
        <f t="shared" si="7"/>
        <v>0</v>
      </c>
      <c r="AJ19" s="821">
        <f t="shared" si="7"/>
        <v>0</v>
      </c>
      <c r="AK19" s="828">
        <f t="shared" si="7"/>
        <v>0</v>
      </c>
      <c r="AL19" s="828">
        <f t="shared" si="7"/>
        <v>0</v>
      </c>
      <c r="AM19" s="828">
        <f t="shared" si="7"/>
        <v>1554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796</v>
      </c>
      <c r="BD19" s="820">
        <f t="shared" si="7"/>
        <v>1139</v>
      </c>
      <c r="BE19" s="820">
        <f t="shared" si="7"/>
        <v>0</v>
      </c>
      <c r="BF19" s="830">
        <f t="shared" si="7"/>
        <v>0</v>
      </c>
      <c r="BG19" s="915">
        <f>IF(ISNUMBER(Datos!K19/Datos!J19),Datos!K19/Datos!J19," - ")</f>
        <v>0.93142660234321162</v>
      </c>
      <c r="BH19" s="915">
        <f>IF(ISNUMBER(((Datos!L19/Datos!K19)*11)/factor_trimestre),((Datos!L19/Datos!K19)*11)/factor_trimestre," - ")</f>
        <v>4.4765075841657422</v>
      </c>
      <c r="BI19" s="813">
        <f>IF(ISNUMBER(Datos!J19/Datos!I19),Datos!J19/Datos!I19," - ")</f>
        <v>3.2172949002217295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-3.8962264150943398</v>
      </c>
      <c r="BM19" s="889">
        <f>IF(ISNUMBER((Datos!P19-Datos!Q19+R19)/(Datos!R19-Datos!P19+Datos!Q19-R19)),(Datos!P19-Datos!Q19+R19)/(Datos!R19-Datos!P19+Datos!Q19-R19)," - ")</f>
        <v>-4.4843049327354259E-3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116.62475437630441</v>
      </c>
      <c r="G21" s="552">
        <f>IF(ISNUMBER(STDEV(G8:G18)),STDEV(G8:G18),"-")</f>
        <v>112.65078783568272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408.78820922330914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288.41960173793092</v>
      </c>
      <c r="BD21" s="551"/>
      <c r="BE21" s="551">
        <f>IF(ISNUMBER(STDEV(BE8:BE18)),STDEV(BE8:BE18),"-")</f>
        <v>0</v>
      </c>
      <c r="BF21" s="556">
        <f>IF(ISNUMBER(STDEV(BF8:BF18)),STDEV(BF8:BF18),"-")</f>
        <v>0</v>
      </c>
      <c r="BG21" s="775">
        <f>IF(ISNUMBER(STDEV(BG8:BG18)),STDEV(BG8:BG18),"-")</f>
        <v>5.3163518071362645E-2</v>
      </c>
      <c r="BH21" s="776">
        <f>IF(ISNUMBER(STDEV(BH8:BH18)),STDEV(BH8:BH18),"-")</f>
        <v>1.6223999944135601</v>
      </c>
      <c r="BI21" s="249">
        <f>IF(ISNUMBER(STDEV(BI8:BI18)),STDEV(BI8:BI18),"-")</f>
        <v>9.3505697402950505E-2</v>
      </c>
      <c r="BJ21" s="230" t="str">
        <f>IF(ISNUMBER(BL21/BM21),BL21/BM21," - ")</f>
        <v xml:space="preserve"> - </v>
      </c>
      <c r="BK21" s="575"/>
      <c r="BL21" s="559">
        <f>IF(ISNUMBER(STDEV(BL8:BL18)),STDEV(BL8:BL18),"-")</f>
        <v>1.8077338579899564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dncV8kWFOBkI21uskQ+S/X3uH6WxUbv/f8eVevox7pvEtuDOD8fjGiGKquY8U94cQDX/EcCG8hXVF+zhOuw9Q==" saltValue="1pCQcQL8jSUBuSKsR5LK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LALIN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7.8571428571428577</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479</v>
      </c>
      <c r="AA12" s="332" t="str">
        <f>IF(ISNUMBER(IF(J_V="SI",Datos!L12,Datos!L12+Datos!AB12)-IF(Monitorios="SI",Datos!CD12,0)),
                          IF(J_V="SI",Datos!L12,Datos!L12+Datos!AB12)-IF(Monitorios="SI",Datos!CD12,0),
                          " - ")</f>
        <v xml:space="preserve"> - </v>
      </c>
      <c r="AB12" s="334"/>
      <c r="AC12" s="334"/>
      <c r="AD12" s="484"/>
      <c r="AE12" s="484">
        <f>IF(ISNUMBER(Datos!R12),Datos!R12," - ")</f>
        <v>1504</v>
      </c>
      <c r="AF12" s="229" t="str">
        <f>IF(ISNUMBER(Datos!BV12),Datos!BV12," - ")</f>
        <v xml:space="preserve"> - </v>
      </c>
      <c r="AG12" s="225" t="str">
        <f>IF(ISNUMBER(Datos!DV12),Datos!DV12," - ")</f>
        <v xml:space="preserve"> - </v>
      </c>
      <c r="AH12" s="298"/>
      <c r="AI12" s="227"/>
      <c r="AJ12" s="225">
        <f>IF(ISNUMBER(Datos!M12),Datos!M12," - ")</f>
        <v>625</v>
      </c>
      <c r="AK12" s="229">
        <f>IF(ISNUMBER(Datos!N12),Datos!N12," - ")</f>
        <v>688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4.2725546058879393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-1.247537754432042E-2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460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479</v>
      </c>
      <c r="AA13" s="900">
        <f t="shared" si="2"/>
        <v>5</v>
      </c>
      <c r="AB13" s="900">
        <f t="shared" si="2"/>
        <v>0</v>
      </c>
      <c r="AC13" s="900">
        <f t="shared" si="2"/>
        <v>0</v>
      </c>
      <c r="AD13" s="900">
        <f t="shared" si="2"/>
        <v>0</v>
      </c>
      <c r="AE13" s="900">
        <f t="shared" si="2"/>
        <v>1504</v>
      </c>
      <c r="AF13" s="908">
        <f t="shared" si="2"/>
        <v>0</v>
      </c>
      <c r="AG13" s="908">
        <f t="shared" si="2"/>
        <v>0</v>
      </c>
      <c r="AH13" s="908">
        <f t="shared" si="2"/>
        <v>0</v>
      </c>
      <c r="AI13" s="908">
        <f t="shared" si="2"/>
        <v>0</v>
      </c>
      <c r="AJ13" s="908">
        <f t="shared" si="2"/>
        <v>629</v>
      </c>
      <c r="AK13" s="908">
        <f t="shared" si="2"/>
        <v>690</v>
      </c>
      <c r="AL13" s="908">
        <f t="shared" si="2"/>
        <v>0</v>
      </c>
      <c r="AM13" s="908">
        <f t="shared" si="2"/>
        <v>0</v>
      </c>
      <c r="AN13" s="908">
        <f t="shared" si="2"/>
        <v>0</v>
      </c>
      <c r="AO13" s="904">
        <f>IF(ISNUMBER(((NºAsuntos!I13/NºAsuntos!G13)*11)/factor_trimestre),((NºAsuntos!I13/NºAsuntos!G13)*11)/factor_trimestre," - ")</f>
        <v>4.2844297207761475</v>
      </c>
      <c r="AP13" s="910" t="str">
        <f>IF(ISNUMBER(Datos!CI13/Datos!CJ13),Datos!CI13/Datos!CJ13," - ")</f>
        <v xml:space="preserve"> - </v>
      </c>
      <c r="AQ13" s="928">
        <f t="shared" ref="AQ13:AV13" si="3">SUBTOTAL(9,AQ9:AQ12)</f>
        <v>0</v>
      </c>
      <c r="AR13" s="928">
        <f t="shared" si="3"/>
        <v>-1.247537754432042E-2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207</v>
      </c>
      <c r="G16" s="225">
        <f>IF(ISNUMBER(IF(D_I="SI",Datos!I16,Datos!I16+Datos!AC16)),IF(D_I="SI",Datos!I16,Datos!I16+Datos!AC16)," - ")</f>
        <v>207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732</v>
      </c>
      <c r="Z16" s="619">
        <f>IF(ISNUMBER(Datos!Q16),Datos!Q16," - ")</f>
        <v>31</v>
      </c>
      <c r="AA16" s="332">
        <f>IF(ISNUMBER(IF(D_I="SI",Datos!L16,Datos!L16+Datos!AF16)),IF(D_I="SI",Datos!L16,Datos!L16+Datos!AF16)," - ")</f>
        <v>253</v>
      </c>
      <c r="AB16" s="334"/>
      <c r="AC16" s="334"/>
      <c r="AD16" s="484"/>
      <c r="AE16" s="484">
        <f>IF(ISNUMBER(Datos!R16),Datos!R16," - ")</f>
        <v>49</v>
      </c>
      <c r="AF16" s="229" t="str">
        <f>IF(ISNUMBER(Datos!BV16),Datos!BV16," - ")</f>
        <v xml:space="preserve"> - </v>
      </c>
      <c r="AG16" s="225"/>
      <c r="AH16" s="298"/>
      <c r="AI16" s="227"/>
      <c r="AJ16" s="225">
        <f>IF(ISNUMBER(Datos!M16),Datos!M16," - ")</f>
        <v>155</v>
      </c>
      <c r="AK16" s="229">
        <f>IF(ISNUMBER(Datos!N16),Datos!N16," - ")</f>
        <v>384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3.8019125683060109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87</v>
      </c>
      <c r="Z17" s="619">
        <f>IF(ISNUMBER(Datos!Q17),Datos!Q17," - ")</f>
        <v>0</v>
      </c>
      <c r="AA17" s="332">
        <f>IF(ISNUMBER(Datos!L17),Datos!L17,"-")</f>
        <v>28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3.5402298850574714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207</v>
      </c>
      <c r="G18" s="898">
        <f>SUBTOTAL(9,G15:G17)</f>
        <v>218</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819</v>
      </c>
      <c r="Z18" s="932">
        <f t="shared" si="5"/>
        <v>31</v>
      </c>
      <c r="AA18" s="932">
        <f t="shared" si="5"/>
        <v>281</v>
      </c>
      <c r="AB18" s="932">
        <f t="shared" si="5"/>
        <v>0</v>
      </c>
      <c r="AC18" s="932">
        <f t="shared" si="5"/>
        <v>0</v>
      </c>
      <c r="AD18" s="932">
        <f t="shared" si="5"/>
        <v>0</v>
      </c>
      <c r="AE18" s="932">
        <f t="shared" si="5"/>
        <v>50</v>
      </c>
      <c r="AF18" s="932">
        <f t="shared" si="5"/>
        <v>0</v>
      </c>
      <c r="AG18" s="932">
        <f t="shared" si="5"/>
        <v>0</v>
      </c>
      <c r="AH18" s="932">
        <f t="shared" si="5"/>
        <v>0</v>
      </c>
      <c r="AI18" s="932">
        <f t="shared" si="5"/>
        <v>0</v>
      </c>
      <c r="AJ18" s="932">
        <f t="shared" si="5"/>
        <v>167</v>
      </c>
      <c r="AK18" s="932">
        <f t="shared" si="5"/>
        <v>449</v>
      </c>
      <c r="AL18" s="932">
        <f t="shared" si="5"/>
        <v>0</v>
      </c>
      <c r="AM18" s="932">
        <f t="shared" si="5"/>
        <v>0</v>
      </c>
      <c r="AN18" s="932">
        <f t="shared" si="5"/>
        <v>0</v>
      </c>
      <c r="AO18" s="934">
        <f>IF(ISNUMBER(((NºAsuntos!I18/NºAsuntos!G18)*11)/factor_trimestre),((NºAsuntos!I18/NºAsuntos!G18)*11)/factor_trimestre," - ")</f>
        <v>3.774114774114774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212</v>
      </c>
      <c r="G19" s="820">
        <f t="shared" si="7"/>
        <v>223</v>
      </c>
      <c r="H19" s="821">
        <f t="shared" si="7"/>
        <v>0</v>
      </c>
      <c r="I19" s="820">
        <f t="shared" si="7"/>
        <v>0</v>
      </c>
      <c r="J19" s="822">
        <f t="shared" si="7"/>
        <v>0</v>
      </c>
      <c r="K19" s="820">
        <f t="shared" si="7"/>
        <v>0</v>
      </c>
      <c r="L19" s="823">
        <f t="shared" si="7"/>
        <v>0</v>
      </c>
      <c r="M19" s="820">
        <f t="shared" si="7"/>
        <v>0</v>
      </c>
      <c r="N19" s="821">
        <f t="shared" si="7"/>
        <v>503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826</v>
      </c>
      <c r="Z19" s="827">
        <f t="shared" si="8"/>
        <v>510</v>
      </c>
      <c r="AA19" s="828">
        <f t="shared" si="8"/>
        <v>286</v>
      </c>
      <c r="AB19" s="828">
        <f t="shared" si="8"/>
        <v>0</v>
      </c>
      <c r="AC19" s="828">
        <f t="shared" si="8"/>
        <v>0</v>
      </c>
      <c r="AD19" s="829">
        <f t="shared" si="8"/>
        <v>0</v>
      </c>
      <c r="AE19" s="829">
        <f t="shared" si="8"/>
        <v>1554</v>
      </c>
      <c r="AF19" s="830">
        <f t="shared" si="8"/>
        <v>0</v>
      </c>
      <c r="AG19" s="831">
        <f t="shared" si="8"/>
        <v>0</v>
      </c>
      <c r="AH19" s="832">
        <f t="shared" si="8"/>
        <v>0</v>
      </c>
      <c r="AI19" s="830">
        <f t="shared" si="8"/>
        <v>0</v>
      </c>
      <c r="AJ19" s="820">
        <f t="shared" si="8"/>
        <v>796</v>
      </c>
      <c r="AK19" s="820">
        <f t="shared" si="8"/>
        <v>1139</v>
      </c>
      <c r="AL19" s="820">
        <f t="shared" si="8"/>
        <v>0</v>
      </c>
      <c r="AM19" s="833">
        <f t="shared" si="8"/>
        <v>0</v>
      </c>
      <c r="AN19" s="823">
        <f>IF(ISNUMBER(Datos!K19/Datos!J19),Datos!K19/Datos!J19," - ")</f>
        <v>0.93142660234321162</v>
      </c>
      <c r="AO19" s="823">
        <f>IF(ISNUMBER(FIND("06",Criterios!A8,1)),(IF(ISNUMBER(((Datos!R19/Datos!Q19)*11)/factor_trimestre),((Datos!R19/Datos!Q19)*11)/factor_trimestre," - ")),(IF(ISNUMBER(((Datos!L19/Datos!K19)*11)/factor_trimestre),((Datos!L19/Datos!K19)*11)/factor_trimestre," - ")))</f>
        <v>4.4765075841657422</v>
      </c>
      <c r="AP19" s="834" t="str">
        <f>IF(ISNUMBER(Datos!CI19/Datos!CJ19),Datos!CI19/Datos!CJ19," - ")</f>
        <v xml:space="preserve"> - </v>
      </c>
      <c r="AQ19" s="834">
        <f>IF(OR(ISNUMBER(FIND("01",Criterios!A8,1)),ISNUMBER(FIND("02",Criterios!A8,1)),ISNUMBER(FIND("03",Criterios!A8,1)),ISNUMBER(FIND("04",Criterios!A8,1))),(J19-Y19+K19)/(F19-K19),(I19-Y19+K19)/(F19-K19))</f>
        <v>-3.8962264150943398</v>
      </c>
      <c r="AR19" s="834">
        <f>IF(ISNUMBER((Datos!P19-Datos!Q19+O19)/(Datos!R19-Datos!P19+Datos!Q19-O19)),(Datos!P19-Datos!Q19+O19)/(Datos!R19-Datos!P19+Datos!Q19-O19)," - ")</f>
        <v>-4.4843049327354259E-3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116.62475437630441</v>
      </c>
      <c r="G21" s="552">
        <f>IF(ISNUMBER(STDEV(G8:G18)),STDEV(G8:G18),"-")</f>
        <v>112.65078783568272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288.41960173793092</v>
      </c>
      <c r="AK21" s="252"/>
      <c r="AL21" s="252">
        <f>IF(ISNUMBER(STDEV(AL8:AL18)),STDEV(AL8:AL18),"-")</f>
        <v>0</v>
      </c>
      <c r="AM21" s="254">
        <f>IF(ISNUMBER(STDEV(AM8:AM18)),STDEV(AM8:AM18),"-")</f>
        <v>0</v>
      </c>
      <c r="AN21" s="539">
        <f>IF(ISNUMBER(STDEV(AN8:AN18)),STDEV(AN8:AN18),"-")</f>
        <v>0</v>
      </c>
      <c r="AO21" s="540">
        <f>IF(ISNUMBER(STDEV(AO8:AO18)),STDEV(AO8:AO18),"-")</f>
        <v>1.6283193549719492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CIAd6RjDLnq38Bkn81vi9szHyZLIFELz1fZoN4PcrJah/NB1SSaQvaqeDEC/MOLyMLYteqf2T8C4NYv/sCCPg==" saltValue="Jo4TWGw79Murv03P2081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Fl+7SvR9/zJ+PN/Pj9mjj6Bztr8t+Aj3xg8QrsAyJq6Wm7sw4Uw9E0afBM9/NKMYe3tQoSyRI3dupySsEF6Vg==" saltValue="itCCaC657KiHCaYbKs0t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NRGLZij+atSkbX6snKG4liEbvbquswicm8bxEUF2hexhVbbVTfwzeAaHwsQNVpjsYYSul5GSwdiSuQppTS+w==" saltValue="xtL4kIBUmDPCJ/FLsITe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0.29768102224325604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0.21049226945874985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lQsmn5kuIM0eIyGy3AkK9z4U2SsFeyTvUsO+LaCVQzYyL32MtAAvOvZWFsbPhRYouaQKd2thnhXTTj3F3Vjg==" saltValue="1Rsscjh+/Xjm5KCo1kGa2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y0TPiBTl0Vu5Mn9FE+ylXPCWclMYq66iw32QpSwju3TgoLESVNq2ZC86jj2jb6BfsL0yVgH8H6zgCHp1ultxw==" saltValue="g++V2U8v7XJwHPSsT9YQ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LALIN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7.8571428571428577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625</v>
      </c>
      <c r="AM12" s="690">
        <f>IF(ISNUMBER(Datos!N12+DatosP!N16),Datos!N12+DatosP!N16," - ")</f>
        <v>688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4.2725546058879393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-1.247537754432042E-2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460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479</v>
      </c>
      <c r="AE13" s="939">
        <f t="shared" si="1"/>
        <v>0</v>
      </c>
      <c r="AF13" s="939">
        <f t="shared" si="1"/>
        <v>5</v>
      </c>
      <c r="AG13" s="939">
        <f t="shared" si="1"/>
        <v>0</v>
      </c>
      <c r="AH13" s="939">
        <f t="shared" si="1"/>
        <v>1504</v>
      </c>
      <c r="AI13" s="939">
        <f t="shared" si="1"/>
        <v>0</v>
      </c>
      <c r="AJ13" s="939">
        <f t="shared" si="1"/>
        <v>0</v>
      </c>
      <c r="AK13" s="939">
        <f t="shared" si="1"/>
        <v>0</v>
      </c>
      <c r="AL13" s="939">
        <f t="shared" si="1"/>
        <v>629</v>
      </c>
      <c r="AM13" s="939">
        <f t="shared" si="1"/>
        <v>690</v>
      </c>
      <c r="AN13" s="939">
        <f t="shared" si="1"/>
        <v>0</v>
      </c>
      <c r="AO13" s="939">
        <f t="shared" si="1"/>
        <v>0</v>
      </c>
      <c r="AP13" s="944">
        <f>IF(ISNUMBER(((Datos!L13/Datos!K13)*11)/factor_trimestre),((Datos!L13/Datos!K13)*11)/factor_trimestre," - ")</f>
        <v>4.781847133757962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v>
      </c>
      <c r="AU13" s="939" t="str">
        <f>IF(ISNUMBER((DatosP!#REF!-DatosP!#REF!+DatosP!#REF!)/(DatosP!#REF!+DatosP!#REF!-DatosP!#REF!-DatosP!#REF!)),(DatosP!#REF!-DatosP!#REF!+DatosP!#REF!)/(DatosP!#REF!+DatosP!#REF!-DatosP!#REF!-DatosP!#REF!)," - ")</f>
        <v xml:space="preserve"> - </v>
      </c>
      <c r="AV13" s="945">
        <f>SUBTOTAL(9,AV9:AV12)</f>
        <v>-1.247537754432042E-2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3.774114774114774</v>
      </c>
      <c r="AQ18" s="944">
        <f>IF(ISNUMBER(((Datos!M18/Datos!L18)*11)/factor_trimestre),((Datos!M18/Datos!L18)*11)/factor_trimestre," - ")</f>
        <v>6.5373665480427041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0.31578947368421051</v>
      </c>
      <c r="AW18" s="946">
        <f>IF(ISNUMBER((Datos!Q18-Datos!R18)/(Datos!S18-Datos!Q18+Datos!R18)),(Datos!Q18-Datos!R18)/(Datos!S18-Datos!Q18+Datos!R18)," - ")</f>
        <v>-9.3137254901960786E-2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460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479</v>
      </c>
      <c r="AE19" s="957">
        <f t="shared" si="5"/>
        <v>0</v>
      </c>
      <c r="AF19" s="958">
        <f t="shared" si="5"/>
        <v>5</v>
      </c>
      <c r="AG19" s="958">
        <f t="shared" si="5"/>
        <v>0</v>
      </c>
      <c r="AH19" s="958">
        <f t="shared" si="5"/>
        <v>1504</v>
      </c>
      <c r="AI19" s="958">
        <f t="shared" si="5"/>
        <v>0</v>
      </c>
      <c r="AJ19" s="959">
        <f t="shared" si="5"/>
        <v>0</v>
      </c>
      <c r="AK19" s="959">
        <f t="shared" si="5"/>
        <v>0</v>
      </c>
      <c r="AL19" s="951">
        <f t="shared" si="5"/>
        <v>629</v>
      </c>
      <c r="AM19" s="951">
        <f t="shared" si="5"/>
        <v>690</v>
      </c>
      <c r="AN19" s="951">
        <f t="shared" si="5"/>
        <v>0</v>
      </c>
      <c r="AO19" s="951">
        <f t="shared" si="5"/>
        <v>0</v>
      </c>
      <c r="AP19" s="951">
        <f>IF(ISNUMBER(((Datos!L19/Datos!K19)*11)/factor_trimestre),((Datos!L19/Datos!K19)*11)/factor_trimestre," - ")</f>
        <v>4.4765075841657422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-4.4843049327354259E-3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360.85130825128886</v>
      </c>
      <c r="AM21" s="736"/>
      <c r="AN21" s="736">
        <f>IF(ISNUMBER(STDEV(AN8:AN18)),STDEV(AN8:AN18),"-")</f>
        <v>0</v>
      </c>
      <c r="AO21" s="742">
        <f>IF(ISNUMBER(STDEV(AO8:AO18)),STDEV(AO8:AO18),"-")</f>
        <v>0</v>
      </c>
      <c r="AP21" s="779">
        <f>IF(ISNUMBER(STDEV(AP8:AP18)),STDEV(AP8:AP18),"-")</f>
        <v>1.8371440856579206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nIbuEH8Hib5FXfn65x0cVJMpgR6AlTRceqrlXOF/r04eayR8R6F+NG5+3iPzKSC7pK5IiSG39ugiCi82lncDw==" saltValue="JIxO8aOju+L5RmGEp4H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